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diskstation\Admin\Conflict Minerals\WPC Completed Form\"/>
    </mc:Choice>
  </mc:AlternateContent>
  <xr:revisionPtr revIDLastSave="0" documentId="13_ncr:1_{A690C151-9082-4893-A9A0-EC66286A275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36" yWindow="348" windowWidth="21696" windowHeight="1203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 i="5" l="1"/>
  <c r="X21" i="5"/>
  <c r="V21" i="5"/>
  <c r="S21" i="5"/>
  <c r="T21" i="5"/>
  <c r="AB20" i="5"/>
  <c r="X20" i="5"/>
  <c r="V20" i="5"/>
  <c r="S20" i="5"/>
  <c r="T20" i="5"/>
  <c r="AB19" i="5"/>
  <c r="X19" i="5"/>
  <c r="V19" i="5"/>
  <c r="S19" i="5"/>
  <c r="T19" i="5"/>
  <c r="AB18" i="5"/>
  <c r="X18" i="5"/>
  <c r="V18" i="5"/>
  <c r="S18" i="5"/>
  <c r="T18" i="5"/>
  <c r="AB17" i="5"/>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<sst xmlns="http://schemas.openxmlformats.org/spreadsheetml/2006/main" count="22487" uniqueCount="15827">
  <si>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</si>
  <si>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</si>
  <si>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</si>
  <si>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</si>
  <si>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</si>
  <si>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</si>
  <si>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</si>
  <si>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</si>
  <si>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</si>
  <si>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</si>
  <si>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</si>
  <si>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</si>
  <si>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</si>
  <si>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</si>
  <si>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</si>
  <si>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</si>
  <si>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</si>
  <si>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</si>
  <si>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</si>
  <si>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</si>
  <si>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</si>
  <si>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</si>
  <si>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</si>
  <si>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</si>
  <si>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</si>
  <si>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</si>
  <si>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</si>
  <si>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</si>
  <si>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</si>
  <si>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</si>
  <si>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</si>
  <si>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</si>
  <si>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</si>
  <si>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</si>
  <si>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</si>
  <si>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</si>
  <si>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</si>
  <si>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</si>
  <si>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</si>
  <si>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</si>
  <si>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</si>
  <si>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</si>
  <si>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</si>
  <si>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</si>
  <si>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</si>
  <si>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</si>
  <si>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</si>
  <si>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</si>
  <si>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</si>
  <si>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</si>
  <si>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</si>
  <si>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</si>
  <si>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</si>
  <si>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</si>
  <si>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</si>
  <si>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</si>
  <si>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</si>
  <si>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</si>
  <si>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</si>
  <si>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</si>
  <si>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</si>
  <si>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</si>
  <si>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</si>
  <si>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</si>
  <si>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</si>
  <si>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</si>
  <si>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</si>
  <si>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</si>
  <si>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</si>
  <si>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</si>
  <si>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</si>
  <si>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</si>
  <si>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</si>
  <si>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</si>
  <si>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</si>
  <si>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</si>
  <si>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</si>
  <si>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</si>
  <si>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</si>
  <si>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</si>
  <si>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</si>
  <si>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</si>
  <si>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</si>
  <si>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</si>
  <si>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</si>
  <si>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</si>
  <si>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</si>
  <si>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</si>
  <si>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</si>
  <si>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</si>
  <si>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</si>
  <si>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</si>
  <si>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</si>
  <si>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</si>
  <si>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</si>
  <si>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</si>
  <si>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</si>
  <si>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</si>
  <si>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</si>
  <si>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</si>
  <si>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</si>
  <si>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</si>
  <si>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</si>
  <si>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</si>
  <si>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</si>
  <si>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</si>
  <si>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</si>
  <si>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</si>
  <si>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</si>
  <si>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</si>
  <si>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</si>
  <si>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</si>
  <si>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</si>
  <si>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</si>
  <si>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</si>
  <si>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</si>
  <si>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</si>
  <si>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</si>
  <si>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</si>
  <si>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</si>
  <si>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</si>
  <si>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</si>
  <si>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</si>
  <si>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</si>
  <si>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</si>
  <si>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</si>
  <si>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</si>
  <si>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</si>
  <si>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</si>
  <si>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</si>
  <si>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</si>
  <si>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</si>
  <si>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</si>
  <si>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</si>
  <si>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</si>
  <si>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</si>
  <si>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</si>
  <si>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</si>
  <si>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</si>
  <si>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</si>
  <si>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</si>
  <si>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</si>
  <si>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</si>
  <si>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</si>
  <si>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</si>
  <si>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</si>
  <si>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</si>
  <si>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</si>
  <si>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</si>
  <si>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</si>
  <si>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</si>
  <si>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</si>
  <si>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</si>
  <si>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</si>
  <si>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</si>
  <si>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</si>
  <si>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</si>
  <si>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</si>
  <si>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</si>
  <si>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</si>
  <si>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</si>
  <si>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</si>
  <si>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</si>
  <si>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</si>
  <si>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</si>
  <si>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</si>
  <si>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</si>
  <si>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</si>
  <si>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</si>
  <si>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</si>
  <si>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</si>
  <si>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</si>
  <si>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</si>
  <si>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</si>
  <si>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</si>
  <si>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</si>
  <si>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</si>
  <si>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</si>
  <si>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</si>
  <si>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</si>
  <si>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</si>
  <si>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</si>
  <si>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</si>
  <si>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</si>
  <si>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</si>
  <si>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</si>
  <si>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</si>
  <si>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</si>
  <si>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</si>
  <si>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</si>
  <si>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</si>
  <si>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</si>
  <si>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</si>
  <si>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</si>
  <si>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</si>
  <si>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</si>
  <si>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</si>
  <si>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</si>
  <si>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</si>
  <si>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</si>
  <si>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</si>
  <si>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</si>
  <si>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</si>
  <si>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</si>
  <si>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</si>
  <si>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</si>
  <si>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</si>
  <si>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</si>
  <si>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</si>
  <si>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</si>
  <si>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</si>
  <si>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</si>
  <si>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</si>
  <si>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</si>
  <si>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</si>
  <si>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</si>
  <si>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</si>
  <si>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</si>
  <si>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</si>
  <si>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</si>
  <si>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</si>
  <si>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</si>
  <si>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</si>
  <si>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</si>
  <si>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</si>
  <si>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</si>
  <si>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</si>
  <si>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</si>
  <si>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</si>
  <si>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</si>
  <si>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</si>
  <si>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</si>
  <si>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</si>
  <si>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</si>
  <si>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</si>
  <si>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</si>
  <si>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</si>
  <si>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</si>
  <si>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</si>
  <si>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</si>
  <si>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</si>
  <si>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</si>
  <si>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</si>
  <si>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</si>
  <si>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</si>
  <si>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</si>
  <si>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</si>
  <si>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</si>
  <si>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</si>
  <si>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</si>
  <si>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</si>
  <si>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</si>
  <si>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</si>
  <si>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</si>
  <si>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</si>
  <si>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</si>
  <si>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</si>
  <si>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</si>
  <si>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</si>
  <si>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</si>
  <si>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</si>
  <si>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</si>
  <si>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</si>
  <si>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</si>
  <si>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</si>
  <si>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</si>
  <si>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</si>
  <si>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</si>
  <si>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</si>
  <si>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</si>
  <si>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</si>
  <si>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</si>
  <si>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</si>
  <si>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</si>
  <si>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</si>
  <si>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</si>
  <si>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</si>
  <si>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</si>
  <si>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</si>
  <si>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</si>
  <si>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</si>
  <si>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</si>
  <si>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</si>
  <si>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</si>
  <si>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</si>
  <si>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</si>
  <si>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</si>
  <si>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</si>
  <si>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</si>
  <si>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</si>
  <si>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</si>
  <si>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</si>
  <si>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</si>
  <si>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</si>
  <si>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</si>
  <si>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</si>
  <si>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</si>
  <si>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</si>
  <si>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</si>
  <si>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</si>
  <si>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</si>
  <si>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</si>
  <si>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</si>
  <si>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</si>
  <si>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</si>
  <si>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</si>
  <si>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</si>
  <si>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</si>
  <si>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</si>
  <si>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</si>
  <si>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</si>
  <si>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</si>
  <si>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</si>
  <si>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</si>
  <si>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</si>
  <si>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</si>
  <si>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</si>
  <si>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</si>
  <si>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</si>
  <si>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</si>
  <si>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</si>
  <si>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</si>
  <si>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</si>
  <si>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</si>
  <si>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</si>
  <si>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</si>
  <si>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</si>
  <si>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</si>
  <si>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</si>
  <si>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</si>
  <si>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</si>
  <si>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</si>
  <si>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</si>
  <si>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</si>
  <si>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</si>
  <si>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</si>
  <si>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</si>
  <si>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</si>
  <si>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</si>
  <si>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</si>
  <si>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</si>
  <si>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</si>
  <si>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</si>
  <si>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</si>
  <si>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</si>
  <si>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</si>
  <si>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</si>
  <si>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</si>
  <si>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</si>
  <si>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</si>
  <si>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</si>
  <si>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</si>
  <si>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</si>
  <si>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</si>
  <si>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</si>
  <si>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</si>
  <si>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</si>
  <si>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</si>
  <si>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</si>
  <si>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</si>
  <si>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</si>
  <si>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</si>
  <si>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</si>
  <si>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</si>
  <si>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</si>
  <si>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</si>
  <si>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</si>
  <si>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</si>
  <si>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</si>
  <si>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</si>
  <si>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</si>
  <si>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</si>
  <si>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</si>
  <si>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</si>
  <si>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</si>
  <si>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</si>
  <si>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</si>
  <si>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</si>
  <si>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</si>
  <si>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</si>
  <si>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</si>
  <si>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</si>
  <si>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</si>
  <si>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</si>
  <si>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</si>
  <si>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</si>
  <si>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</si>
  <si>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</si>
  <si>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</si>
  <si>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</si>
  <si>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</si>
  <si>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</si>
  <si>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</si>
  <si>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</si>
  <si>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</si>
  <si>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</si>
  <si>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</si>
  <si>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</si>
  <si>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</si>
  <si>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</si>
  <si>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</si>
  <si>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</si>
  <si>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</si>
  <si>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</si>
  <si>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</si>
  <si>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</si>
  <si>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</si>
  <si>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</si>
  <si>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</si>
  <si>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</si>
  <si>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</si>
  <si>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</si>
  <si>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</si>
  <si>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</si>
  <si>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</si>
  <si>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</si>
  <si>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</si>
  <si>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</si>
  <si>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</si>
  <si>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</si>
  <si>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</si>
  <si>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</si>
  <si>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</si>
  <si>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</si>
  <si>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</si>
  <si>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</si>
  <si>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</si>
  <si>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</si>
  <si>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</si>
  <si>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</si>
  <si>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</si>
  <si>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</si>
  <si>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</si>
  <si>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</si>
  <si>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</si>
  <si>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</si>
  <si>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</si>
  <si>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</si>
  <si>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</si>
  <si>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</si>
  <si>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</si>
  <si>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</si>
  <si>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</si>
  <si>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</si>
  <si>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</si>
  <si>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</si>
  <si>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</si>
  <si>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</si>
  <si>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</si>
  <si>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</si>
  <si>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</si>
  <si>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</si>
  <si>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</si>
  <si>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</si>
  <si>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</si>
  <si>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</si>
  <si>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</si>
  <si>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</si>
  <si>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</si>
  <si>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</si>
  <si>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</si>
  <si>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</si>
  <si>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</si>
  <si>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</si>
  <si>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</si>
  <si>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</si>
  <si>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</si>
  <si>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</si>
  <si>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</si>
  <si>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</si>
  <si>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</si>
  <si>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</si>
  <si>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</si>
  <si>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</si>
  <si>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</si>
  <si>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</si>
  <si>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</si>
  <si>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</si>
  <si>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</si>
  <si>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</si>
  <si>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</si>
  <si>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</si>
  <si>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</si>
  <si>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</si>
  <si>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</si>
  <si>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</si>
  <si>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</si>
  <si>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</si>
  <si>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</si>
  <si>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</si>
  <si>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</si>
  <si>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</si>
  <si>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</si>
  <si>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</si>
  <si>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</si>
  <si>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</si>
  <si>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</si>
  <si>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</si>
  <si>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</si>
  <si>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</si>
  <si>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</si>
  <si>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</si>
  <si>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</si>
  <si>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</si>
  <si>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</si>
  <si>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</si>
  <si>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</si>
  <si>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</si>
  <si>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</si>
  <si>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</si>
  <si>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</si>
  <si>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</si>
  <si>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</si>
  <si>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</si>
  <si>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</si>
  <si>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</si>
  <si>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</si>
  <si>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</si>
  <si>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</si>
  <si>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</si>
  <si>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</si>
  <si>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</si>
  <si>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</si>
  <si>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</si>
  <si>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</si>
  <si>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</si>
  <si>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</si>
  <si>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</si>
  <si>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</si>
  <si>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</si>
  <si>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</si>
  <si>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</si>
  <si>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</si>
  <si>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</si>
  <si>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</si>
  <si>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</si>
  <si>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</si>
  <si>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</si>
  <si>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</si>
  <si>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</si>
  <si>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</si>
  <si>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</si>
  <si>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</si>
  <si>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</si>
  <si>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</si>
  <si>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</si>
  <si>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</si>
  <si>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</si>
  <si>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</si>
  <si>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</si>
  <si>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</si>
  <si>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</si>
  <si>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</si>
  <si>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</si>
  <si>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</si>
  <si>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</si>
  <si>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</si>
  <si>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</si>
  <si>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</si>
  <si>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</si>
  <si>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</si>
  <si>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</si>
  <si>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</si>
  <si>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</si>
  <si>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</si>
  <si>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</si>
  <si>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</si>
  <si>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</si>
  <si>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</si>
  <si>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</si>
  <si>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</si>
  <si>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</si>
  <si>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</si>
  <si>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</si>
  <si>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</si>
  <si>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</si>
  <si>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</si>
  <si>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</si>
  <si>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</si>
  <si>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</si>
  <si>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</si>
  <si>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</si>
  <si>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</si>
  <si>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</si>
  <si>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</si>
  <si>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</si>
  <si>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</si>
  <si>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</si>
  <si>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</si>
  <si>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</si>
  <si>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</si>
  <si>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</si>
  <si>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</si>
  <si>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</si>
  <si>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</si>
  <si>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</si>
  <si>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</si>
  <si>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</si>
  <si>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</si>
  <si>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</si>
  <si>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</si>
  <si>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</si>
  <si>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</si>
  <si>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</si>
  <si>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</si>
  <si>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</si>
  <si>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</si>
  <si>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</si>
  <si>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</si>
  <si>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</si>
  <si>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</si>
  <si>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</si>
  <si>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</si>
  <si>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</si>
  <si>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</si>
  <si>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</si>
  <si>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</si>
  <si>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</si>
  <si>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</si>
  <si>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</si>
  <si>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</si>
  <si>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</si>
  <si>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</si>
  <si>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</si>
  <si>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</si>
  <si>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</si>
  <si>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</si>
  <si>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</si>
  <si>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</si>
  <si>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</si>
  <si>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</si>
  <si>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</si>
  <si>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</si>
  <si>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</si>
  <si>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</si>
  <si>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</si>
  <si>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</si>
  <si>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</si>
  <si>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</si>
  <si>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</si>
  <si>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</si>
  <si>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</si>
  <si>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</si>
  <si>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</si>
  <si>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</si>
  <si>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</si>
  <si>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</si>
  <si>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</si>
  <si>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</si>
  <si>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</si>
  <si>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</si>
  <si>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</si>
  <si>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</si>
  <si>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</si>
  <si>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</si>
  <si>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</si>
  <si>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</si>
  <si>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</si>
  <si>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</si>
  <si>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</si>
  <si>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</si>
  <si>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</si>
  <si>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</si>
  <si>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</si>
  <si>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</si>
  <si>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</si>
  <si>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</si>
  <si>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</si>
  <si>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</si>
  <si>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</si>
  <si>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</si>
  <si>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</si>
  <si>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</si>
  <si>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</si>
  <si>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</si>
  <si>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</si>
  <si>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</si>
  <si>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</si>
  <si>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</si>
  <si>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</si>
  <si>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</si>
  <si>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</si>
  <si>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</si>
  <si>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</si>
  <si>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</si>
  <si>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</si>
  <si>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</si>
  <si>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</si>
  <si>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</si>
  <si>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</si>
  <si>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</si>
  <si>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</si>
  <si>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</si>
  <si>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</si>
  <si>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</si>
  <si>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</si>
  <si>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</si>
  <si>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</si>
  <si>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</si>
  <si>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</si>
  <si>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</si>
  <si>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</si>
  <si>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</si>
  <si>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</si>
  <si>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</si>
  <si>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</si>
  <si>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</si>
  <si>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</si>
  <si>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</si>
  <si>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</si>
  <si>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</si>
  <si>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</si>
  <si>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</si>
  <si>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</si>
  <si>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</si>
  <si>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</si>
  <si>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</si>
  <si>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</si>
  <si>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</si>
  <si>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</si>
  <si>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</si>
  <si>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</si>
  <si>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</si>
  <si>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</si>
  <si>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</si>
  <si>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</si>
  <si>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</si>
  <si>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</si>
  <si>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</si>
  <si>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</si>
  <si>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</si>
  <si>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</si>
  <si>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</si>
  <si>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</si>
  <si>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</si>
  <si>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</si>
  <si>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</si>
  <si>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</si>
  <si>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</si>
  <si>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</si>
  <si>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</si>
  <si>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</si>
  <si>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</si>
  <si>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</si>
  <si>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</si>
  <si>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</si>
  <si>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</si>
  <si>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</si>
  <si>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</si>
  <si>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</si>
  <si>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</si>
  <si>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</si>
  <si>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</si>
  <si>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</si>
  <si>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</si>
  <si>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</si>
  <si>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</si>
  <si>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</si>
  <si>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</si>
  <si>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</si>
  <si>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</si>
  <si>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</si>
  <si>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</si>
  <si>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</si>
  <si>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</si>
  <si>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</si>
  <si>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</si>
  <si>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</si>
  <si>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</si>
  <si>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</si>
  <si>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</si>
  <si>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</si>
  <si>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</si>
  <si>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</si>
  <si>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</si>
  <si>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</si>
  <si>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</si>
  <si>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</si>
  <si>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</si>
  <si>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</si>
  <si>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</si>
  <si>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</si>
  <si>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</si>
  <si>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</si>
  <si>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</si>
  <si>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</si>
  <si>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</si>
  <si>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</si>
  <si>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</si>
  <si>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</si>
  <si>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</si>
  <si>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</si>
  <si>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</si>
  <si>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</si>
  <si>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</si>
  <si>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</si>
  <si>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</si>
  <si>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</si>
  <si>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</si>
  <si>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</si>
  <si>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</si>
  <si>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</si>
  <si>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</si>
  <si>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</si>
  <si>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</si>
  <si>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</si>
  <si>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</si>
  <si>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</si>
  <si>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</si>
  <si>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</si>
  <si>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</si>
  <si>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</si>
  <si>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</si>
  <si>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</si>
  <si>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</si>
  <si>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</si>
  <si>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</si>
  <si>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</si>
  <si>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</si>
  <si>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</si>
  <si>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</si>
  <si>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</si>
  <si>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</si>
  <si>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</si>
  <si>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</si>
  <si>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</si>
  <si>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</si>
  <si>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</si>
  <si>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</si>
  <si>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</si>
  <si>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</si>
  <si>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</si>
  <si>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</si>
  <si>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</si>
  <si>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</si>
  <si>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</si>
  <si>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</si>
  <si>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</si>
  <si>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</si>
  <si>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</si>
  <si>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</si>
  <si>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</si>
  <si>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</si>
  <si>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</si>
  <si>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</si>
  <si>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</si>
  <si>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</si>
  <si>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</si>
  <si>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</si>
  <si>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</si>
  <si>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</si>
  <si>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</si>
  <si>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</si>
  <si>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</si>
  <si>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</si>
  <si>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</si>
  <si>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</si>
  <si>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</si>
  <si>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</si>
  <si>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</si>
  <si>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</si>
  <si>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</si>
  <si>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</si>
  <si>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</si>
  <si>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</si>
  <si>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</si>
  <si>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</si>
  <si>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</si>
  <si>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</si>
  <si>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</si>
  <si>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</si>
  <si>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</si>
  <si>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</si>
  <si>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</si>
  <si>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</si>
  <si>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</si>
  <si>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</si>
  <si>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</si>
  <si>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</si>
  <si>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</si>
  <si>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</si>
  <si>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</si>
  <si>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</si>
  <si>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</si>
  <si>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</si>
  <si>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</si>
  <si>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</si>
  <si>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</si>
  <si>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</si>
  <si>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</si>
  <si>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</si>
  <si>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</si>
  <si>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</si>
  <si>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</si>
  <si>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</si>
  <si>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</si>
  <si>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</si>
  <si>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</si>
  <si>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</si>
  <si>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</si>
  <si>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</si>
  <si>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</si>
  <si>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</si>
  <si>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</si>
  <si>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</si>
  <si>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</si>
  <si>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</si>
  <si>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</si>
  <si>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</si>
  <si>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</si>
  <si>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</si>
  <si>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</si>
  <si>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</si>
  <si>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</si>
  <si>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</si>
  <si>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</si>
  <si>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</si>
  <si>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</si>
  <si>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</si>
  <si>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</si>
  <si>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</si>
  <si>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</si>
  <si>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</si>
  <si>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</si>
  <si>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</si>
  <si>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</si>
  <si>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</si>
  <si>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</si>
  <si>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</si>
  <si>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</si>
  <si>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</si>
  <si>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</si>
  <si>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</si>
  <si>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</si>
  <si>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</si>
  <si>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</si>
  <si>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</si>
  <si>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</si>
  <si>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</si>
  <si>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</si>
  <si>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</si>
  <si>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</si>
  <si>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</si>
  <si>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</si>
  <si>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</si>
  <si>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</si>
  <si>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</si>
  <si>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</si>
  <si>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</si>
  <si>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</si>
  <si>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</si>
  <si>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</si>
  <si>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</si>
  <si>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</si>
  <si>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</si>
  <si>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</si>
  <si>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</si>
  <si>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</si>
  <si>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</si>
  <si>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</si>
  <si>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</si>
  <si>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</si>
  <si>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</si>
  <si>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</si>
  <si>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</si>
  <si>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</si>
  <si>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</si>
  <si>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</si>
  <si>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</si>
  <si>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</si>
  <si>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</si>
  <si>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</si>
  <si>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</si>
  <si>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</si>
  <si>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</si>
  <si>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</si>
  <si>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</si>
  <si>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</si>
  <si>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</si>
  <si>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</si>
  <si>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</si>
  <si>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</si>
  <si>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</si>
  <si>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</si>
  <si>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</si>
  <si>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</si>
  <si>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</si>
  <si>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</si>
  <si>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</si>
  <si>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</si>
  <si>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</si>
  <si>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</si>
  <si>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</si>
  <si>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</si>
  <si>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</si>
  <si>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</si>
  <si>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</si>
  <si>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</si>
  <si>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</si>
  <si>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</si>
  <si>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</si>
  <si>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</si>
  <si>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</si>
  <si>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</si>
  <si>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</si>
  <si>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</si>
  <si>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</si>
  <si>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</si>
  <si>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</si>
  <si>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</si>
  <si>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</si>
  <si>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</si>
  <si>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</si>
  <si>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</si>
  <si>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</si>
  <si>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</si>
  <si>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</si>
  <si>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</si>
  <si>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</si>
  <si>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</si>
  <si>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</si>
  <si>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</si>
  <si>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</si>
  <si>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</si>
  <si>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</si>
  <si>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</si>
  <si>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</si>
  <si>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</si>
  <si>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</si>
  <si>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</si>
  <si>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</si>
  <si>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</si>
  <si>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</si>
  <si>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</si>
  <si>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</si>
  <si>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</si>
  <si>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</si>
  <si>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</si>
  <si>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</si>
  <si>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</si>
  <si>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</si>
  <si>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</si>
  <si>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</si>
  <si>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</si>
  <si>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</si>
  <si>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</si>
  <si>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</si>
  <si>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</si>
  <si>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</si>
  <si>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</si>
  <si>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</si>
  <si>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</si>
  <si>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</si>
  <si>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</si>
  <si>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</si>
  <si>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</si>
  <si>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</si>
  <si>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</si>
  <si>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</si>
  <si>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</si>
  <si>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</si>
  <si>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</si>
  <si>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</si>
  <si>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</si>
  <si>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</si>
  <si>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</si>
  <si>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</si>
  <si>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</si>
  <si>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</si>
  <si>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</si>
  <si>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</si>
  <si>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</si>
  <si>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</si>
  <si>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</si>
  <si>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</si>
  <si>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</si>
  <si>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</si>
  <si>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</si>
  <si>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</si>
  <si>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</si>
  <si>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</si>
  <si>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</si>
  <si>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</si>
  <si>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</si>
  <si>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</si>
  <si>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</si>
  <si>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</si>
  <si>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</si>
  <si>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</si>
  <si>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</si>
  <si>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</si>
  <si>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</si>
  <si>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</si>
  <si>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</si>
  <si>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</si>
  <si>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</si>
  <si>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</si>
  <si>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</si>
  <si>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</si>
  <si>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</si>
  <si>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</si>
  <si>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</si>
  <si>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</si>
  <si>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</si>
  <si>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</si>
  <si>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</si>
  <si>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</si>
  <si>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</si>
  <si>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</si>
  <si>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</si>
  <si>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</si>
  <si>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</si>
  <si>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</si>
  <si>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</si>
  <si>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</si>
  <si>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</si>
  <si>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</si>
  <si>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</si>
  <si>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</si>
  <si>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</si>
  <si>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</si>
  <si>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</si>
  <si>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</si>
  <si>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</si>
  <si>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</si>
  <si>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</si>
  <si>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</si>
  <si>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</si>
  <si>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</si>
  <si>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</si>
  <si>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</si>
  <si>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</si>
  <si>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</si>
  <si>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</si>
  <si>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</si>
  <si>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</si>
  <si>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</si>
  <si>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</si>
  <si>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</si>
  <si>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</si>
  <si>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</si>
  <si>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</si>
  <si>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</si>
  <si>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</si>
  <si>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</si>
  <si>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</si>
  <si>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</si>
  <si>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</si>
  <si>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</si>
  <si>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</si>
  <si>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</si>
  <si>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</si>
  <si>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</si>
  <si>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</si>
  <si>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</si>
  <si>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</si>
  <si>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</si>
  <si>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</si>
  <si>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</si>
  <si>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</si>
  <si>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</si>
  <si>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</si>
  <si>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</si>
  <si>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</si>
  <si>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</si>
  <si>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</si>
  <si>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</si>
  <si>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</si>
  <si>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</si>
  <si>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</si>
  <si>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</si>
  <si>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</si>
  <si>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</si>
  <si>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</si>
  <si>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</si>
  <si>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</si>
  <si>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</si>
  <si>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</si>
  <si>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</si>
  <si>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</si>
  <si>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</si>
  <si>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</si>
  <si>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</si>
  <si>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</si>
  <si>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</si>
  <si>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</si>
  <si>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</si>
  <si>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</si>
  <si>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</si>
  <si>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</si>
  <si>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</si>
  <si>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</si>
  <si>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</si>
  <si>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</si>
  <si>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</si>
  <si>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</si>
  <si>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</si>
  <si>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</si>
  <si>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</si>
  <si>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</si>
  <si>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</si>
  <si>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</si>
  <si>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</si>
  <si>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</si>
  <si>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</si>
  <si>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</si>
  <si>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</si>
  <si>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</si>
  <si>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</si>
  <si>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</si>
  <si>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</si>
  <si>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</si>
  <si>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</si>
  <si>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</si>
  <si>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</si>
  <si>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</si>
  <si>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</si>
  <si>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</si>
  <si>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</si>
  <si>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</si>
  <si>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</si>
  <si>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</si>
  <si>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</si>
  <si>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</si>
  <si>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</si>
  <si>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</si>
  <si>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</si>
  <si>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</si>
  <si>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</si>
  <si>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</si>
  <si>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</si>
  <si>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</si>
  <si>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</si>
  <si>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</si>
  <si>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</si>
  <si>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</si>
  <si>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</si>
  <si>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</si>
  <si>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</si>
  <si>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</si>
  <si>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</si>
  <si>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</si>
  <si>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</si>
  <si>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</si>
  <si>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</si>
  <si>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</si>
  <si>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</si>
  <si>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</si>
  <si>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</si>
  <si>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</si>
  <si>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</si>
  <si>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</si>
  <si>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</si>
  <si>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</si>
  <si>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</si>
  <si>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</si>
  <si>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</si>
  <si>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</si>
  <si>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</si>
  <si>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</si>
  <si>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</si>
  <si>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</si>
  <si>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</si>
  <si>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</si>
  <si>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</si>
  <si>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</si>
  <si>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</si>
  <si>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</si>
  <si>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</si>
  <si>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</si>
  <si>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</si>
  <si>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</si>
  <si>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</si>
  <si>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</si>
  <si>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</si>
  <si>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</si>
  <si>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</si>
  <si>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</si>
  <si>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</si>
  <si>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</si>
  <si>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</si>
  <si>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</si>
  <si>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</si>
  <si>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</si>
  <si>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</si>
  <si>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</si>
  <si>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</si>
  <si>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</si>
  <si>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</si>
  <si>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</si>
  <si>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</si>
  <si>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</si>
  <si>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</si>
  <si>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</si>
  <si>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</si>
  <si>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</si>
  <si>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</si>
  <si>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</si>
  <si>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</si>
  <si>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</si>
  <si>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</si>
  <si>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</si>
  <si>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</si>
  <si>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</si>
  <si>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</si>
  <si>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</si>
  <si>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</si>
  <si>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</si>
  <si>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</si>
  <si>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</si>
  <si>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</si>
  <si>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</si>
  <si>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</si>
  <si>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</si>
  <si>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</si>
  <si>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</si>
  <si>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</si>
  <si>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</si>
  <si>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</si>
  <si>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</si>
  <si>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</si>
  <si>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</si>
  <si>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</si>
  <si>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</si>
  <si>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</si>
  <si>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</si>
  <si>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</si>
  <si>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</si>
  <si>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</si>
  <si>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</si>
  <si>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</si>
  <si>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</si>
  <si>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</si>
  <si>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</si>
  <si>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</si>
  <si>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</si>
  <si>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</si>
  <si>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</si>
  <si>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</si>
  <si>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</si>
  <si>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</si>
  <si>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</si>
  <si>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</si>
  <si>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</si>
  <si>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</si>
  <si>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</si>
  <si>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</si>
  <si>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</si>
  <si>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</si>
  <si>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</si>
  <si>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</si>
  <si>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</si>
  <si>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</si>
  <si>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</si>
  <si>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</si>
  <si>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</si>
  <si>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</si>
  <si>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</si>
  <si>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</si>
  <si>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</si>
  <si>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</si>
  <si>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</si>
  <si>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</si>
  <si>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</si>
  <si>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</si>
  <si>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</si>
  <si>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</si>
  <si>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</si>
  <si>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</si>
  <si>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</si>
  <si>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</si>
  <si>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</si>
  <si>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</si>
  <si>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</si>
  <si>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</si>
  <si>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</si>
  <si>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</si>
  <si>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</si>
  <si>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</si>
  <si>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</si>
  <si>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</si>
  <si>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</si>
  <si>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</si>
  <si>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</si>
  <si>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</si>
  <si>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</si>
  <si>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</si>
  <si>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</si>
  <si>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</si>
  <si>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</si>
  <si>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</si>
  <si>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</si>
  <si>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</si>
  <si>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</si>
  <si>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</si>
  <si>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</si>
  <si>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</si>
  <si>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</si>
  <si>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</si>
  <si>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</si>
  <si>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</si>
  <si>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</si>
  <si>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</si>
  <si>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</si>
  <si>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</si>
  <si>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</si>
  <si>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</si>
  <si>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</si>
  <si>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</si>
  <si>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</si>
  <si>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</si>
  <si>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</si>
  <si>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</si>
  <si>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</si>
  <si>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</si>
  <si>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</si>
  <si>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</si>
  <si>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</si>
  <si>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</si>
  <si>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</si>
  <si>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</si>
  <si>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</si>
  <si>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</si>
  <si>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</si>
  <si>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</si>
  <si>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</si>
  <si>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</si>
  <si>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</si>
  <si>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</si>
  <si>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</si>
  <si>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</si>
  <si>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</si>
  <si>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</si>
  <si>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</si>
  <si>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</si>
  <si>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</si>
  <si>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</si>
  <si>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</si>
  <si>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</si>
  <si>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</si>
  <si>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</si>
  <si>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</si>
  <si>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</si>
  <si>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</si>
  <si>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</si>
  <si>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</si>
  <si>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</si>
  <si>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</si>
  <si>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</si>
  <si>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</si>
  <si>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</si>
  <si>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</si>
  <si>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</si>
  <si>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</si>
  <si>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</si>
  <si>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</si>
  <si>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</si>
  <si>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</si>
  <si>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</si>
  <si>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</si>
  <si>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</si>
  <si>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</si>
  <si>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</si>
  <si>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</si>
  <si>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</si>
  <si>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</si>
  <si>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</si>
  <si>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</si>
  <si>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</si>
  <si>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</si>
  <si>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</si>
  <si>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</si>
  <si>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</si>
  <si>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</si>
  <si>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</si>
  <si>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</si>
  <si>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</si>
  <si>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</si>
  <si>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</si>
  <si>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</si>
  <si>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</si>
  <si>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</si>
  <si>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</si>
  <si>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</si>
  <si>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</si>
  <si>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</si>
  <si>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</si>
  <si>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</si>
  <si>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</si>
  <si>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</si>
  <si>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</si>
  <si>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</si>
  <si>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</si>
  <si>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</si>
  <si>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</si>
  <si>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</si>
  <si>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</si>
  <si>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</si>
  <si>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</si>
  <si>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</si>
  <si>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</si>
  <si>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</si>
  <si>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</si>
  <si>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</si>
  <si>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</si>
  <si>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</si>
  <si>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</si>
  <si>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</si>
  <si>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</si>
  <si>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</si>
  <si>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</si>
  <si>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</si>
  <si>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</si>
  <si>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</si>
  <si>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</si>
  <si>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</si>
  <si>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</si>
  <si>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</si>
  <si>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</si>
  <si>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</si>
  <si>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</si>
  <si>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</si>
  <si>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</si>
  <si>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</si>
  <si>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</si>
  <si>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</si>
  <si>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</si>
  <si>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</si>
  <si>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</si>
  <si>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</si>
  <si>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</si>
  <si>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</si>
  <si>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</si>
  <si>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</si>
  <si>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</si>
  <si>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</si>
  <si>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</si>
  <si>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</si>
  <si>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</si>
  <si>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</si>
  <si>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</si>
  <si>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</si>
  <si>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</si>
  <si>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</si>
  <si>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</si>
  <si>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</si>
  <si>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</si>
  <si>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</si>
  <si>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</si>
  <si>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</si>
  <si>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</si>
  <si>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</si>
  <si>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</si>
  <si>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</si>
  <si>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</si>
  <si>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</si>
  <si>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</si>
  <si>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</si>
  <si>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</si>
  <si>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</si>
  <si>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</si>
  <si>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</si>
  <si>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</si>
  <si>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</si>
  <si>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</si>
  <si>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</si>
  <si>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</si>
  <si>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</si>
  <si>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</si>
  <si>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</si>
  <si>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</si>
  <si>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</si>
  <si>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</si>
  <si>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</si>
  <si>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</si>
  <si>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</si>
  <si>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</si>
  <si>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</si>
  <si>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</si>
  <si>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</si>
  <si>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</si>
  <si>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</si>
  <si>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</si>
  <si>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</si>
  <si>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</si>
  <si>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</si>
  <si>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</si>
  <si>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</si>
  <si>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</si>
  <si>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</si>
  <si>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</si>
  <si>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</si>
  <si>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</si>
  <si>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</si>
  <si>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</si>
  <si>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</si>
  <si>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</si>
  <si>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</si>
  <si>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</si>
  <si>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</si>
  <si>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</si>
  <si>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</si>
  <si>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</si>
  <si>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</si>
  <si>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</si>
  <si>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</si>
  <si>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</si>
  <si>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</si>
  <si>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</si>
  <si>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</si>
  <si>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</si>
  <si>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</si>
  <si>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</si>
  <si>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</si>
  <si>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</si>
  <si>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</si>
  <si>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</si>
  <si>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</si>
  <si>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</si>
  <si>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</si>
  <si>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</si>
  <si>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</si>
  <si>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</si>
  <si>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</si>
  <si>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</si>
  <si>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</si>
  <si>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</si>
  <si>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</si>
  <si>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</si>
  <si>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</si>
  <si>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</si>
  <si>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</si>
  <si>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</si>
  <si>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</si>
  <si>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</si>
  <si>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</si>
  <si>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</si>
  <si>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</si>
  <si>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</si>
  <si>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</si>
  <si>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</si>
  <si>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</si>
  <si>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</si>
  <si>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</si>
  <si>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</si>
  <si>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</si>
  <si>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</si>
  <si>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</si>
  <si>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</si>
  <si>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</si>
  <si>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</si>
  <si>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</si>
  <si>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</si>
  <si>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</si>
  <si>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</si>
  <si>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</si>
  <si>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</si>
  <si>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</si>
  <si>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</si>
  <si>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</si>
  <si>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</si>
  <si>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</si>
  <si>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</si>
  <si>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</si>
  <si>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</si>
  <si>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</si>
  <si>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</si>
  <si>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</si>
  <si>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</si>
  <si>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</si>
  <si>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</si>
  <si>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</si>
  <si>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</si>
  <si>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</si>
  <si>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</si>
  <si>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</si>
  <si>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</si>
  <si>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</si>
  <si>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</si>
  <si>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</si>
  <si>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</si>
  <si>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</si>
  <si>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</si>
  <si>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</si>
  <si>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</si>
  <si>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</si>
  <si>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</si>
  <si>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</si>
  <si>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</si>
  <si>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</si>
  <si>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</si>
  <si>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</si>
  <si>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</si>
  <si>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</si>
  <si>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</si>
  <si>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</si>
  <si>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</si>
  <si>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</si>
  <si>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</si>
  <si>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</si>
  <si>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</si>
  <si>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</si>
  <si>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</si>
  <si>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</si>
  <si>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</si>
  <si>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</si>
  <si>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</si>
  <si>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</si>
  <si>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</si>
  <si>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</si>
  <si>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</si>
  <si>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</si>
  <si>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</si>
  <si>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</si>
  <si>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</si>
  <si>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</si>
  <si>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</si>
  <si>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</si>
  <si>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</si>
  <si>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</si>
  <si>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</si>
  <si>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</si>
  <si>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</si>
  <si>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</si>
  <si>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</si>
  <si>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</si>
  <si>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</si>
  <si>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</si>
  <si>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</si>
  <si>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</si>
  <si>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</si>
  <si>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</si>
  <si>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</si>
  <si>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</si>
  <si>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</si>
  <si>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</si>
  <si>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</si>
  <si>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</si>
  <si>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</si>
  <si>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</si>
  <si>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</si>
  <si>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</si>
  <si>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</si>
  <si>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</si>
  <si>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</si>
  <si>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</si>
  <si>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</si>
  <si>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</si>
  <si>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</si>
  <si>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</si>
  <si>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</si>
  <si>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</si>
  <si>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</si>
  <si>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</si>
  <si>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</si>
  <si>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</si>
  <si>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</si>
  <si>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</si>
  <si>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</si>
  <si>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</si>
  <si>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</si>
  <si>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</si>
  <si>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</si>
  <si>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</si>
  <si>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</si>
  <si>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</si>
  <si>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</si>
  <si>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</si>
  <si>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</si>
  <si>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</si>
  <si>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</si>
  <si>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</si>
  <si>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</si>
  <si>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</si>
  <si>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</si>
  <si>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</si>
  <si>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</si>
  <si>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</si>
  <si>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</si>
  <si>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</si>
  <si>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</si>
  <si>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</si>
  <si>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</si>
  <si>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</si>
  <si>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</si>
  <si>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</si>
  <si>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</si>
  <si>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</si>
  <si>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</si>
  <si>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</si>
  <si>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</si>
  <si>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</si>
  <si>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</si>
  <si>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</si>
  <si>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</si>
  <si>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</si>
  <si>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</si>
  <si>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</si>
  <si>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</si>
  <si>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</si>
  <si>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</si>
  <si>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</si>
  <si>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</si>
  <si>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</si>
  <si>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</si>
  <si>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</si>
  <si>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</si>
  <si>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</si>
  <si>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</si>
  <si>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</si>
  <si>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</si>
  <si>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</si>
  <si>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</si>
  <si>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</si>
  <si>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</si>
  <si>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</si>
  <si>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</si>
  <si>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</si>
  <si>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</si>
  <si>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</si>
  <si>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</si>
  <si>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</si>
  <si>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</si>
  <si>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</si>
  <si>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</si>
  <si>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</si>
  <si>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</si>
  <si>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</si>
  <si>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</si>
  <si>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</si>
  <si>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</si>
  <si>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</si>
  <si>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</si>
  <si>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</si>
  <si>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</si>
  <si>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</si>
  <si>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</si>
  <si>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</si>
  <si>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</si>
  <si>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</si>
  <si>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</si>
  <si>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</si>
  <si>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</si>
  <si>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</si>
  <si>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</si>
  <si>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</si>
  <si>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</si>
  <si>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</si>
  <si>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</si>
  <si>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</si>
  <si>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</si>
  <si>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</si>
  <si>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</si>
  <si>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</si>
  <si>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</si>
  <si>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</si>
  <si>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</si>
  <si>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</si>
  <si>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</si>
  <si>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</si>
  <si>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</si>
  <si>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</si>
  <si>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</si>
  <si>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</si>
  <si>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</si>
  <si>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</si>
  <si>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</si>
  <si>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</si>
  <si>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</si>
  <si>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</si>
  <si>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</si>
  <si>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</si>
  <si>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</si>
  <si>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</si>
  <si>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</si>
  <si>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</si>
  <si>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</si>
  <si>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</si>
  <si>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</si>
  <si>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</si>
  <si>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</si>
  <si>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</si>
  <si>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</si>
  <si>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</si>
  <si>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</si>
  <si>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</si>
  <si>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</si>
  <si>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</si>
  <si>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</si>
  <si>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</si>
  <si>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</si>
  <si>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</si>
  <si>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</si>
  <si>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</si>
  <si>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</si>
  <si>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</si>
  <si>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</si>
  <si>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</si>
  <si>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</si>
  <si>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</si>
  <si>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</si>
  <si>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</si>
  <si>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</si>
  <si>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</si>
  <si>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</si>
  <si>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</si>
  <si>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</si>
  <si>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</si>
  <si>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</si>
  <si>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</si>
  <si>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</si>
  <si>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</si>
  <si>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</si>
  <si>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</si>
  <si>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</si>
  <si>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</si>
  <si>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</si>
  <si>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</si>
  <si>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</si>
  <si>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</si>
  <si>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</si>
  <si>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</si>
  <si>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</si>
  <si>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</si>
  <si>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</si>
  <si>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</si>
  <si>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</si>
  <si>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</si>
  <si>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</si>
  <si>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</si>
  <si>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</si>
  <si>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</si>
  <si>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</si>
  <si>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</si>
  <si>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</si>
  <si>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</si>
  <si>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</si>
  <si>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</si>
  <si>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</si>
  <si>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</si>
  <si>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</si>
  <si>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</si>
  <si>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</si>
  <si>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</si>
  <si>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</si>
  <si>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</si>
  <si>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</si>
  <si>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</si>
  <si>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</si>
  <si>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</si>
  <si>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</si>
  <si>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</si>
  <si>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</si>
  <si>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</si>
  <si>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</si>
  <si>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</si>
  <si>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</si>
  <si>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</si>
  <si>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</si>
  <si>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</si>
  <si>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</si>
  <si>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</si>
  <si>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</si>
  <si>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</si>
  <si>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</si>
  <si>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</si>
  <si>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</si>
  <si>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</si>
  <si>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</si>
  <si>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</si>
  <si>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</si>
  <si>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</si>
  <si>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</si>
  <si>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</si>
  <si>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</si>
  <si>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</si>
  <si>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</si>
  <si>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</si>
  <si>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</si>
  <si>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</si>
  <si>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</si>
  <si>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</si>
  <si>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</si>
  <si>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</si>
  <si>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</si>
  <si>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</si>
  <si>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</si>
  <si>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</si>
  <si>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</si>
  <si>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</si>
  <si>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</si>
  <si>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</si>
  <si>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</si>
  <si>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</si>
  <si>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</si>
  <si>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</si>
  <si>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</si>
  <si>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</si>
  <si>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</si>
  <si>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</si>
  <si>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</si>
  <si>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</si>
  <si>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</si>
  <si>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</si>
  <si>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</si>
  <si>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</si>
  <si>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</si>
  <si>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</si>
  <si>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</si>
  <si>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</si>
  <si>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</si>
  <si>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</si>
  <si>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</si>
  <si>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</si>
  <si>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</si>
  <si>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</si>
  <si>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</si>
  <si>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</si>
  <si>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</si>
  <si>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</si>
  <si>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</si>
  <si>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</si>
  <si>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</si>
  <si>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</si>
  <si>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</si>
  <si>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</si>
  <si>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</si>
  <si>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</si>
  <si>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</si>
  <si>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</si>
  <si>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</si>
  <si>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</si>
  <si>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</si>
  <si>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</si>
  <si>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</si>
  <si>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</si>
  <si>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</si>
  <si>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</si>
  <si>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</si>
  <si>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</si>
  <si>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</si>
  <si>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</si>
  <si>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</si>
  <si>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</si>
  <si>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</si>
  <si>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</si>
  <si>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</si>
  <si>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</si>
  <si>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</si>
  <si>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</si>
  <si>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</si>
  <si>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</si>
  <si>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</si>
  <si>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</si>
  <si>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</si>
  <si>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</si>
  <si>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</si>
  <si>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</si>
  <si>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</si>
  <si>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</si>
  <si>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</si>
  <si>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</si>
  <si>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</si>
  <si>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</si>
  <si>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</si>
  <si>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</si>
  <si>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</si>
  <si>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</si>
  <si>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</si>
  <si>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</si>
  <si>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</si>
  <si>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</si>
  <si>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</si>
  <si>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</si>
  <si>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</si>
  <si>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</si>
  <si>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</si>
  <si>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</si>
  <si>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</si>
  <si>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</si>
  <si>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</si>
  <si>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</si>
  <si>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</si>
  <si>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</si>
  <si>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</si>
  <si>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</si>
  <si>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</si>
  <si>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</si>
  <si>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</si>
  <si>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</si>
  <si>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</si>
  <si>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</si>
  <si>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</si>
  <si>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</si>
  <si>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</si>
  <si>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</si>
  <si>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</si>
  <si>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</si>
  <si>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</si>
  <si>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</si>
  <si>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</si>
  <si>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</si>
  <si>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</si>
  <si>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</si>
  <si>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</si>
  <si>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</si>
  <si>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</si>
  <si>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</si>
  <si>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</si>
  <si>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</si>
  <si>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</si>
  <si>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</si>
  <si>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</si>
  <si>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</si>
  <si>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</si>
  <si>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</si>
  <si>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</si>
  <si>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</si>
  <si>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</si>
  <si>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</si>
  <si>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</si>
  <si>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</si>
  <si>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</si>
  <si>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</si>
  <si>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</si>
  <si>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</si>
  <si>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</si>
  <si>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</si>
  <si>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</si>
  <si>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</si>
  <si>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</si>
  <si>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</si>
  <si>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</si>
  <si>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</si>
  <si>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</si>
  <si>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</si>
  <si>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</si>
  <si>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</si>
  <si>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</si>
  <si>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</si>
  <si>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</si>
  <si>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</si>
  <si>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</si>
  <si>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</si>
  <si>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</si>
  <si>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</si>
  <si>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</si>
  <si>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</si>
  <si>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</si>
  <si>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</si>
  <si>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</si>
  <si>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</si>
  <si>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</si>
  <si>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</si>
  <si>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</si>
  <si>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</si>
  <si>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</si>
  <si>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</si>
  <si>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</si>
  <si>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</si>
  <si>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</si>
  <si>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</si>
  <si>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</si>
  <si>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</si>
  <si>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</si>
  <si>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</si>
  <si>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</si>
  <si>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</si>
  <si>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</si>
  <si>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</si>
  <si>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</si>
  <si>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</si>
  <si>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</si>
  <si>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</si>
  <si>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</si>
  <si>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</si>
  <si>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</si>
  <si>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</si>
  <si>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</si>
  <si>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</si>
  <si>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</si>
  <si>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</si>
  <si>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</si>
  <si>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</si>
  <si>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</si>
  <si>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</si>
  <si>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</si>
  <si>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</si>
  <si>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</si>
  <si>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</si>
  <si>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</si>
  <si>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</si>
  <si>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</si>
  <si>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</si>
  <si>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</si>
  <si>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</si>
  <si>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</si>
  <si>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</si>
  <si>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</si>
  <si>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</si>
  <si>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</si>
  <si>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</si>
  <si>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</si>
  <si>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</si>
  <si>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</si>
  <si>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</si>
  <si>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</si>
  <si>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</si>
  <si>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</si>
  <si>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</si>
  <si>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</si>
  <si>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</si>
  <si>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</si>
  <si>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</si>
  <si>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</si>
  <si>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</si>
  <si>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</si>
  <si>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</si>
  <si>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</si>
  <si>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</si>
  <si>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</si>
  <si>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</si>
  <si>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</si>
  <si>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</si>
  <si>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</si>
  <si>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</si>
  <si>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</si>
  <si>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</si>
  <si>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</si>
  <si>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</si>
  <si>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</si>
  <si>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</si>
  <si>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</si>
  <si>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</si>
  <si>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</si>
  <si>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</si>
  <si>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</si>
  <si>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</si>
  <si>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</si>
  <si>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</si>
  <si>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</si>
  <si>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</si>
  <si>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</si>
  <si>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</si>
  <si>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</si>
  <si>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</si>
  <si>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</si>
  <si>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</si>
  <si>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</si>
  <si>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</si>
  <si>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</si>
  <si>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</si>
  <si>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</si>
  <si>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</si>
  <si>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</si>
  <si>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</si>
  <si>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</si>
  <si>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</si>
  <si>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</si>
  <si>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</si>
  <si>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</si>
  <si>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</si>
  <si>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</si>
  <si>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</si>
  <si>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</si>
  <si>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</si>
  <si>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</si>
  <si>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</si>
  <si>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</si>
  <si>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</si>
  <si>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</si>
  <si>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</si>
  <si>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</si>
  <si>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</si>
  <si>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</si>
  <si>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</si>
  <si>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</si>
  <si>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</si>
  <si>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</si>
  <si>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</si>
  <si>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</si>
  <si>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</si>
  <si>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</si>
  <si>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</si>
  <si>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</si>
  <si>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</si>
  <si>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</si>
  <si>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</si>
  <si>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</si>
  <si>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</si>
  <si>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</si>
  <si>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</si>
  <si>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</si>
  <si>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</si>
  <si>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</si>
  <si>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</si>
  <si>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</si>
  <si>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</si>
  <si>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</si>
  <si>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</si>
  <si>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</si>
  <si>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</si>
  <si>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</si>
  <si>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</si>
  <si>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</si>
  <si>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</si>
  <si>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</si>
  <si>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</si>
  <si>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</si>
  <si>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</si>
  <si>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</si>
  <si>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</si>
  <si>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</si>
  <si>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</si>
  <si>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</si>
  <si>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</si>
  <si>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</si>
  <si>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</si>
  <si>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</si>
  <si>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</si>
  <si>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</si>
  <si>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</si>
  <si>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</si>
  <si>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</si>
  <si>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</si>
  <si>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</si>
  <si>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</si>
  <si>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</si>
  <si>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</si>
  <si>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</si>
  <si>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</si>
  <si>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</si>
  <si>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</si>
  <si>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</si>
  <si>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</si>
  <si>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</si>
  <si>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</si>
  <si>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</si>
  <si>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</si>
  <si>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</si>
  <si>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</si>
  <si>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</si>
  <si>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</si>
  <si>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</si>
  <si>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</si>
  <si>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</si>
  <si>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</si>
  <si>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</si>
  <si>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</si>
  <si>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</si>
  <si>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</si>
  <si>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</si>
  <si>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</si>
  <si>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</si>
  <si>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</si>
  <si>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</si>
  <si>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</si>
  <si>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</si>
  <si>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</si>
  <si>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</si>
  <si>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</si>
  <si>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</si>
  <si>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</si>
  <si>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</si>
  <si>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</si>
  <si>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</si>
  <si>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</si>
  <si>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</si>
  <si>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</si>
  <si>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</si>
  <si>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</si>
  <si>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</si>
  <si>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</si>
  <si>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</si>
  <si>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</si>
  <si>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</si>
  <si>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</si>
  <si>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</si>
  <si>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</si>
  <si>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</si>
  <si>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</si>
  <si>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</si>
  <si>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</si>
  <si>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</si>
  <si>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</si>
  <si>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</si>
  <si>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</si>
  <si>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</si>
  <si>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</si>
  <si>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</si>
  <si>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</si>
  <si>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</si>
  <si>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</si>
  <si>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</si>
  <si>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</si>
  <si>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</si>
  <si>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</si>
  <si>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</si>
  <si>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</si>
  <si>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</si>
  <si>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</si>
  <si>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</si>
  <si>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</si>
  <si>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</si>
  <si>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</si>
  <si>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</si>
  <si>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</si>
  <si>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</si>
  <si>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</si>
  <si>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</si>
  <si>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</si>
  <si>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</si>
  <si>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</si>
  <si>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</si>
  <si>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</si>
  <si>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</si>
  <si>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</si>
  <si>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</si>
  <si>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</si>
  <si>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</si>
  <si>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</si>
  <si>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</si>
  <si>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</si>
  <si>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</si>
  <si>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</si>
  <si>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</si>
  <si>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</si>
  <si>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</si>
  <si>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</si>
  <si>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</si>
  <si>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</si>
  <si>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</si>
  <si>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</si>
  <si>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</si>
  <si>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</si>
  <si>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</si>
  <si>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</si>
  <si>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</si>
  <si>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</si>
  <si>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</si>
  <si>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</si>
  <si>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</si>
  <si>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</si>
  <si>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</si>
  <si>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</si>
  <si>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</si>
  <si>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</si>
  <si>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</si>
  <si>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</si>
  <si>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</si>
  <si>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</si>
  <si>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</si>
  <si>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</si>
  <si>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</si>
  <si>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</si>
  <si>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</si>
  <si>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</si>
  <si>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</si>
  <si>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</si>
  <si>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</si>
  <si>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</si>
  <si>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</si>
  <si>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</si>
  <si>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</si>
  <si>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</si>
  <si>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</si>
  <si>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</si>
  <si>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</si>
  <si>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</si>
  <si>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</si>
  <si>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</si>
  <si>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</si>
  <si>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</si>
  <si>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</si>
  <si>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</si>
  <si>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</si>
  <si>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</si>
  <si>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</si>
  <si>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</si>
  <si>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</si>
  <si>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</si>
  <si>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</si>
  <si>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</si>
  <si>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</si>
  <si>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</si>
  <si>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</si>
  <si>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</si>
  <si>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</si>
  <si>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</si>
  <si>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</si>
  <si>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</si>
  <si>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</si>
  <si>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</si>
  <si>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</si>
  <si>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</si>
  <si>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</si>
  <si>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</si>
  <si>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</si>
  <si>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</si>
  <si>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</si>
  <si>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</si>
  <si>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</si>
  <si>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</si>
  <si>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</si>
  <si>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</si>
  <si>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</si>
  <si>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</si>
  <si>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</si>
  <si>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</si>
  <si>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</si>
  <si>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</si>
  <si>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</si>
  <si>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</si>
  <si>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</si>
  <si>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</si>
  <si>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</si>
  <si>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</si>
  <si>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</si>
  <si>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</si>
  <si>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</si>
  <si>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</si>
  <si>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</si>
  <si>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</si>
  <si>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</si>
  <si>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</si>
  <si>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</si>
  <si>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</si>
  <si>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</si>
  <si>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</si>
  <si>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</si>
  <si>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</si>
  <si>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</si>
  <si>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</si>
  <si>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</si>
  <si>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</si>
  <si>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</si>
  <si>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</si>
  <si>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</si>
  <si>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</si>
  <si>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</si>
  <si>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</si>
  <si>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</si>
  <si>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</si>
  <si>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</si>
  <si>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</si>
  <si>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</si>
  <si>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</si>
  <si>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</si>
  <si>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</si>
  <si>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</si>
  <si>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</si>
  <si>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</si>
  <si>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</si>
  <si>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</si>
  <si>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</si>
  <si>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</si>
  <si>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</si>
  <si>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</si>
  <si>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</si>
  <si>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</si>
  <si>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</si>
  <si>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</si>
  <si>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</si>
  <si>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</si>
  <si>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</si>
  <si>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</si>
  <si>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</si>
  <si>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</si>
  <si>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</si>
  <si>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</si>
  <si>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</si>
  <si>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</si>
  <si>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</si>
  <si>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</si>
  <si>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</si>
  <si>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</si>
  <si>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</si>
  <si>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</si>
  <si>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</si>
  <si>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</si>
  <si>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</si>
  <si>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</si>
  <si>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</si>
  <si>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</si>
  <si>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</si>
  <si>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</si>
  <si>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</si>
  <si>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</si>
  <si>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</si>
  <si>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</si>
  <si>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</si>
  <si>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</si>
  <si>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</si>
  <si>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</si>
  <si>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</si>
  <si>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</si>
  <si>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</si>
  <si>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</si>
  <si>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</si>
  <si>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</si>
  <si>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</si>
  <si>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</si>
  <si>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</si>
  <si>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</si>
  <si>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</si>
  <si>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</si>
  <si>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</si>
  <si>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</si>
  <si>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</si>
  <si>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</si>
  <si>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</si>
  <si>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</si>
  <si>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</si>
  <si>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</si>
  <si>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</si>
  <si>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</si>
  <si>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</si>
  <si>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</si>
  <si>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</si>
  <si>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</si>
  <si>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</si>
  <si>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</si>
  <si>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</si>
  <si>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</si>
  <si>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</si>
  <si>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</si>
  <si>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</si>
  <si>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</si>
  <si>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</si>
  <si>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</si>
  <si>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</si>
  <si>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</si>
  <si>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</si>
  <si>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</si>
  <si>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</si>
  <si>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</si>
  <si>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</si>
  <si>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</si>
  <si>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</si>
  <si>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</si>
  <si>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</si>
  <si>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</si>
  <si>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</si>
  <si>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</si>
  <si>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</si>
  <si>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</si>
  <si>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</si>
  <si>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</si>
  <si>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</si>
  <si>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</si>
  <si>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</si>
  <si>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</si>
  <si>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</si>
  <si>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</si>
  <si>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</si>
  <si>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</si>
  <si>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</si>
  <si>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</si>
  <si>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</si>
  <si>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</si>
  <si>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</si>
  <si>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</si>
  <si>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</si>
  <si>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</si>
  <si>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</si>
  <si>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</si>
  <si>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</si>
  <si>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</si>
  <si>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</si>
  <si>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</si>
  <si>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</si>
  <si>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</si>
  <si>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</si>
  <si>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</si>
  <si>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</si>
  <si>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</si>
  <si>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</si>
  <si>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</si>
  <si>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</si>
  <si>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</si>
  <si>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</si>
  <si>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</si>
  <si>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</si>
  <si>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</si>
  <si>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</si>
  <si>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</si>
  <si>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</si>
  <si>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</si>
  <si>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</si>
  <si>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</si>
  <si>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</si>
  <si>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</si>
  <si>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</si>
  <si>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</si>
  <si>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</si>
  <si>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</si>
  <si>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</si>
  <si>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</si>
  <si>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</si>
  <si>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</si>
  <si>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</si>
  <si>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</si>
  <si>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</si>
  <si>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</si>
  <si>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</si>
  <si>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</si>
  <si>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</si>
  <si>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</si>
  <si>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</si>
  <si>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</si>
  <si>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</si>
  <si>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</si>
  <si>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</si>
  <si>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</si>
  <si>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</si>
  <si>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</si>
  <si>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</si>
  <si>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</si>
  <si>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</si>
  <si>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</si>
  <si>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</si>
  <si>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</si>
  <si>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</si>
  <si>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</si>
  <si>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</si>
  <si>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</si>
  <si>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</si>
  <si>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</si>
  <si>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</si>
  <si>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</si>
  <si>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</si>
  <si>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</si>
  <si>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</si>
  <si>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</si>
  <si>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</si>
  <si>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</si>
  <si>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</si>
  <si>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</si>
  <si>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</si>
  <si>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</si>
  <si>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</si>
  <si>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</si>
  <si>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</si>
  <si>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</si>
  <si>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</si>
  <si>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</si>
  <si>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</si>
  <si>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</si>
  <si>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</si>
  <si>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</si>
  <si>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</si>
  <si>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</si>
  <si>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</si>
  <si>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</si>
  <si>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</si>
  <si>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</si>
  <si>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</si>
  <si>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</si>
  <si>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</si>
  <si>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</si>
  <si>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</si>
  <si>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</si>
  <si>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</si>
  <si>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</si>
  <si>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</si>
  <si>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</si>
  <si>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</si>
  <si>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</si>
  <si>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</si>
  <si>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</si>
  <si>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</si>
  <si>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</si>
  <si>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</si>
  <si>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</si>
  <si>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</si>
  <si>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</si>
  <si>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</si>
  <si>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</si>
  <si>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</si>
  <si>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</si>
  <si>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</si>
  <si>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</si>
  <si>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</si>
  <si>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</si>
  <si>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</si>
  <si>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</si>
  <si>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</si>
  <si>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</si>
  <si>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</si>
  <si>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</si>
  <si>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</si>
  <si>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</si>
  <si>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</si>
  <si>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</si>
  <si>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</si>
  <si>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</si>
  <si>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</si>
  <si>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</si>
  <si>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</si>
  <si>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</si>
  <si>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</si>
  <si>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</si>
  <si>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</si>
  <si>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</si>
  <si>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</si>
  <si>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</si>
  <si>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</si>
  <si>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</si>
  <si>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</si>
  <si>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</si>
  <si>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</si>
  <si>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</si>
  <si>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</si>
  <si>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</si>
  <si>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</si>
  <si>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</si>
  <si>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</si>
  <si>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</si>
  <si>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</si>
  <si>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</si>
  <si>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</si>
  <si>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</si>
  <si>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</si>
  <si>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</si>
  <si>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</si>
  <si>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</si>
  <si>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</si>
  <si>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</si>
  <si>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</si>
  <si>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</si>
  <si>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</si>
  <si>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</si>
  <si>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</si>
  <si>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</si>
  <si>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</si>
  <si>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</si>
  <si>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</si>
  <si>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</si>
  <si>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</si>
  <si>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</si>
  <si>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</si>
  <si>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</si>
  <si>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</si>
  <si>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</si>
  <si>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</si>
  <si>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</si>
  <si>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</si>
  <si>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</si>
  <si>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</si>
  <si>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</si>
  <si>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</si>
  <si>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</si>
  <si>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</si>
  <si>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</si>
  <si>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</si>
  <si>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</si>
  <si>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</si>
  <si>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</si>
  <si>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</si>
  <si>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</si>
  <si>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</si>
  <si>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</si>
  <si>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</si>
  <si>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</si>
  <si>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</si>
  <si>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</si>
  <si>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</si>
  <si>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</si>
  <si>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</si>
  <si>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</si>
  <si>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</si>
  <si>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</si>
  <si>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</si>
  <si>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</si>
  <si>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</si>
  <si>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</si>
  <si>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</si>
  <si>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</si>
  <si>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</si>
  <si>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</si>
  <si>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</si>
  <si>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</si>
  <si>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</si>
  <si>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</si>
  <si>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</si>
  <si>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</si>
  <si>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</si>
  <si>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</si>
  <si>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</si>
  <si>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</si>
  <si>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</si>
  <si>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</si>
  <si>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</si>
  <si>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</si>
  <si>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</si>
  <si>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</si>
  <si>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</si>
  <si>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</si>
  <si>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</si>
  <si>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</si>
  <si>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</si>
  <si>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</si>
  <si>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</si>
  <si>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</si>
  <si>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</si>
  <si>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</si>
  <si>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</si>
  <si>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</si>
  <si>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</si>
  <si>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</si>
  <si>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</si>
  <si>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</si>
  <si>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</si>
  <si>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</si>
  <si>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</si>
  <si>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</si>
  <si>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</si>
  <si>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</si>
  <si>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</si>
  <si>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</si>
  <si>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</si>
  <si>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</si>
  <si>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</si>
  <si>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</si>
  <si>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</si>
  <si>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</si>
  <si>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</si>
  <si>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</si>
  <si>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</si>
  <si>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</si>
  <si>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</si>
  <si>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</si>
  <si>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</si>
  <si>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</si>
  <si>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</si>
  <si>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</si>
  <si>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</si>
  <si>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</si>
  <si>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</si>
  <si>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</si>
  <si>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</si>
  <si>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</si>
  <si>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</si>
  <si>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</si>
  <si>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</si>
  <si>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</si>
  <si>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</si>
  <si>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</si>
  <si>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</si>
  <si>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</si>
  <si>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</si>
  <si>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</si>
  <si>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</si>
  <si>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</si>
  <si>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</si>
  <si>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</si>
  <si>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</si>
  <si>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</si>
  <si>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</si>
  <si>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</si>
  <si>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</si>
  <si>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</si>
  <si>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</si>
  <si>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</si>
  <si>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</si>
  <si>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</si>
  <si>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</si>
  <si>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</si>
  <si>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</si>
  <si>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</si>
  <si>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</si>
  <si>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</si>
  <si>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</si>
  <si>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</si>
  <si>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</si>
  <si>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</si>
  <si>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</si>
  <si>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</si>
  <si>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</si>
  <si>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</si>
  <si>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</si>
  <si>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</si>
  <si>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</si>
  <si>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</si>
  <si>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</si>
  <si>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</si>
  <si>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</si>
  <si>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</si>
  <si>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</si>
  <si>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</si>
  <si>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</si>
  <si>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</si>
  <si>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</si>
  <si>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</si>
  <si>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</si>
  <si>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</si>
  <si>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</si>
  <si>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</si>
  <si>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</si>
  <si>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</si>
  <si>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</si>
  <si>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</si>
  <si>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</si>
  <si>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</si>
  <si>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</si>
  <si>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</si>
  <si>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</si>
  <si>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</si>
  <si>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</si>
  <si>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</si>
  <si>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</si>
  <si>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</si>
  <si>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</si>
  <si>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</si>
  <si>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</si>
  <si>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</si>
  <si>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</si>
  <si>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</si>
  <si>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</si>
  <si>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</si>
  <si>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</si>
  <si>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</si>
  <si>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</si>
  <si>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</si>
  <si>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</si>
  <si>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</si>
  <si>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</si>
  <si>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</si>
  <si>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</si>
  <si>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</si>
  <si>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</si>
  <si>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</si>
  <si>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</si>
  <si>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</si>
  <si>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</si>
  <si>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</si>
  <si>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</si>
  <si>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</si>
  <si>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</si>
  <si>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</si>
  <si>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</si>
  <si>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</si>
  <si>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</si>
  <si>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</si>
  <si>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</si>
  <si>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</si>
  <si>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</si>
  <si>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</si>
  <si>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</si>
  <si>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</si>
  <si>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</si>
  <si>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</si>
  <si>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</si>
  <si>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</si>
  <si>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</si>
  <si>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</si>
  <si>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</si>
  <si>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</si>
  <si>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</si>
  <si>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</si>
  <si>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</si>
  <si>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</si>
  <si>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</si>
  <si>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</si>
  <si>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</si>
  <si>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</si>
  <si>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</si>
  <si>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</si>
  <si>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</si>
  <si>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</si>
  <si>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</si>
  <si>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</si>
  <si>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</si>
  <si>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</si>
  <si>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</si>
  <si>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</si>
  <si>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</si>
  <si>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</si>
  <si>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</si>
  <si>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</si>
  <si>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</si>
  <si>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</si>
  <si>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</si>
  <si>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</si>
  <si>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</si>
  <si>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</si>
  <si>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</si>
  <si>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</si>
  <si>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</si>
  <si>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</si>
  <si>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</si>
  <si>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</si>
  <si>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</si>
  <si>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</si>
  <si>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</si>
  <si>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</si>
  <si>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</si>
  <si>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</si>
  <si>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</si>
  <si>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</si>
  <si>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</si>
  <si>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</si>
  <si>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</si>
  <si>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</si>
  <si>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</si>
  <si>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</si>
  <si>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</si>
  <si>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</si>
  <si>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</si>
  <si>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</si>
  <si>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</si>
  <si>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</si>
  <si>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</si>
  <si>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</si>
  <si>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</si>
  <si>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</si>
  <si>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</si>
  <si>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</si>
  <si>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</si>
  <si>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</si>
  <si>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</si>
  <si>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</si>
  <si>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</si>
  <si>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</si>
  <si>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</si>
  <si>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</si>
  <si>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</si>
  <si>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</si>
  <si>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</si>
  <si>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</si>
  <si>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</si>
  <si>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</si>
  <si>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</si>
  <si>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</si>
  <si>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</si>
  <si>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</si>
  <si>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</si>
  <si>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</si>
  <si>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</si>
  <si>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</si>
  <si>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</si>
  <si>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</si>
  <si>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</si>
  <si>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</si>
  <si>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</si>
  <si>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</si>
  <si>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</si>
  <si>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</si>
  <si>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</si>
  <si>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</si>
  <si>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</si>
  <si>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</si>
  <si>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</si>
  <si>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</si>
  <si>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</si>
  <si>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</si>
  <si>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</si>
  <si>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</si>
  <si>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</si>
  <si>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</si>
  <si>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</si>
  <si>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</si>
  <si>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</si>
  <si>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</si>
  <si>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</si>
  <si>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</si>
  <si>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</si>
  <si>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</si>
  <si>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</si>
  <si>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</si>
  <si>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</si>
  <si>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</si>
  <si>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</si>
  <si>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</si>
  <si>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</si>
  <si>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</si>
  <si>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</si>
  <si>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</si>
  <si>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</si>
  <si>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</si>
  <si>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</si>
  <si>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</si>
  <si>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</si>
  <si>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</si>
  <si>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</si>
  <si>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</si>
  <si>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</si>
  <si>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</si>
  <si>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</si>
  <si>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</si>
  <si>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</si>
  <si>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</si>
  <si>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</si>
  <si>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</si>
  <si>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</si>
  <si>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</si>
  <si>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</si>
  <si>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</si>
  <si>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</si>
  <si>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</si>
  <si>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</si>
  <si>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</si>
  <si>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</si>
  <si>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</si>
  <si>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</si>
  <si>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</si>
  <si>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</si>
  <si>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</si>
  <si>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</si>
  <si>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</si>
  <si>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</si>
  <si>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</si>
  <si>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</si>
  <si>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</si>
  <si>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</si>
  <si>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</si>
  <si>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</si>
  <si>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</si>
  <si>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</si>
  <si>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</si>
  <si>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</si>
  <si>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</si>
  <si>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</si>
  <si>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</si>
  <si>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</si>
  <si>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</si>
  <si>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</si>
  <si>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</si>
  <si>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</si>
  <si>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</si>
  <si>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</si>
  <si>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</si>
  <si>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</si>
  <si>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</si>
  <si>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</si>
  <si>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</si>
  <si>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</si>
  <si>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</si>
  <si>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</si>
  <si>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</si>
  <si>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</si>
  <si>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</si>
  <si>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</si>
  <si>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</si>
  <si>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</si>
  <si>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</si>
  <si>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</si>
  <si>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</si>
  <si>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</si>
  <si>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</si>
  <si>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</si>
  <si>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</si>
  <si>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</si>
  <si>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</si>
  <si>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</si>
  <si>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</si>
  <si>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</si>
  <si>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</si>
  <si>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</si>
  <si>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</si>
  <si>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</si>
  <si>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</si>
  <si>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</si>
  <si>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</si>
  <si>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</si>
  <si>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</si>
  <si>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</si>
  <si>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</si>
  <si>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</si>
  <si>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</si>
  <si>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</si>
  <si>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</si>
  <si>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</si>
  <si>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</si>
  <si>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</si>
  <si>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</si>
  <si>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</si>
  <si>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</si>
  <si>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</si>
  <si>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</si>
  <si>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</si>
  <si>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</si>
  <si>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</si>
  <si>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</si>
  <si>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</si>
  <si>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</si>
  <si>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</si>
  <si>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</si>
  <si>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</si>
  <si>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</si>
  <si>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</si>
  <si>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</si>
  <si>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</si>
  <si>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</si>
  <si>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</si>
  <si>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</si>
  <si>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</si>
  <si>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</si>
  <si>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</si>
  <si>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</si>
  <si>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</si>
  <si>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</si>
  <si>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</si>
  <si>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</si>
  <si>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</si>
  <si>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</si>
  <si>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</si>
  <si>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</si>
  <si>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</si>
  <si>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</si>
  <si>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</si>
  <si>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</si>
  <si>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</si>
  <si>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</si>
  <si>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</si>
  <si>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</si>
  <si>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</si>
  <si>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</si>
  <si>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</si>
  <si>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</si>
  <si>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</si>
  <si>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</si>
  <si>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</si>
  <si>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</si>
  <si>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</si>
  <si>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</si>
  <si>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</si>
  <si>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</si>
  <si>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</si>
  <si>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</si>
  <si>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</si>
  <si>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</si>
  <si>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</si>
  <si>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</si>
  <si>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</si>
  <si>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</si>
  <si>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</si>
  <si>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</si>
  <si>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</si>
  <si>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</si>
  <si>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</si>
  <si>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</si>
  <si>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</si>
  <si>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</si>
  <si>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</si>
  <si>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</si>
  <si>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</si>
  <si>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</si>
  <si>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</si>
  <si>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</si>
  <si>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</si>
  <si>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</si>
  <si>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</si>
  <si>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</si>
  <si>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</si>
  <si>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</si>
  <si>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</si>
  <si>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</si>
  <si>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</si>
  <si>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</si>
  <si>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</si>
  <si>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</si>
  <si>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</si>
  <si>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</si>
  <si>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</si>
  <si>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</si>
  <si>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</si>
  <si>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</si>
  <si>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</si>
  <si>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</si>
  <si>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</si>
  <si>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</si>
  <si>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</si>
  <si>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</si>
  <si>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</si>
  <si>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</si>
  <si>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</si>
  <si>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</si>
  <si>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</si>
  <si>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</si>
  <si>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</si>
  <si>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</si>
  <si>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</si>
  <si>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</si>
  <si>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</si>
  <si>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</si>
  <si>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</si>
  <si>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</si>
  <si>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</si>
  <si>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</si>
  <si>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</si>
  <si>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</si>
  <si>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</si>
  <si>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</si>
  <si>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</si>
  <si>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</si>
  <si>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</si>
  <si>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</si>
  <si>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</si>
  <si>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</si>
  <si>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</si>
  <si>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</si>
  <si>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</si>
  <si>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</si>
  <si>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</si>
  <si>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</si>
  <si>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</si>
  <si>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</si>
  <si>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</si>
  <si>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</si>
  <si>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</si>
  <si>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</si>
  <si>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</si>
  <si>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</si>
  <si>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</si>
  <si>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</si>
  <si>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</si>
  <si>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</si>
  <si>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</si>
  <si>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</si>
  <si>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</si>
  <si>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</si>
  <si>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</si>
  <si>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</si>
  <si>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</si>
  <si>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</si>
  <si>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</si>
  <si>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</si>
  <si>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</si>
  <si>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</si>
  <si>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</si>
  <si>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</si>
  <si>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</si>
  <si>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</si>
  <si>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</si>
  <si>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</si>
  <si>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</si>
  <si>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</si>
  <si>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</si>
  <si>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</si>
  <si>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</si>
  <si>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</si>
  <si>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</si>
  <si>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</si>
  <si>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</si>
  <si>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</si>
  <si>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</si>
  <si>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</si>
  <si>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</si>
  <si>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</si>
  <si>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</si>
  <si>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</si>
  <si>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</si>
  <si>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</si>
  <si>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</si>
  <si>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</si>
  <si>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</si>
  <si>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</si>
  <si>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</si>
  <si>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</si>
  <si>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</si>
  <si>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</si>
  <si>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</si>
  <si>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</si>
  <si>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</si>
  <si>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</si>
  <si>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</si>
  <si>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</si>
  <si>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</si>
  <si>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</si>
  <si>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</si>
  <si>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</si>
  <si>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</si>
  <si>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</si>
  <si>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</si>
  <si>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</si>
  <si>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</si>
  <si>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</si>
  <si>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</si>
  <si>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</si>
  <si>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</si>
  <si>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</si>
  <si>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</si>
  <si>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</si>
  <si>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</si>
  <si>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</si>
  <si>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</si>
  <si>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</si>
  <si>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</si>
  <si>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</si>
  <si>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</si>
  <si>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</si>
  <si>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</si>
  <si>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</si>
  <si>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</si>
  <si>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</si>
  <si>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</si>
  <si>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</si>
  <si>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</si>
  <si>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</si>
  <si>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</si>
  <si>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</si>
  <si>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</si>
  <si>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</si>
  <si>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</si>
  <si>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</si>
  <si>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</si>
  <si>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</si>
  <si>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</si>
  <si>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</si>
  <si>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</si>
  <si>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</si>
  <si>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</si>
  <si>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</si>
  <si>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</si>
  <si>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</si>
  <si>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</si>
  <si>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</si>
  <si>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</si>
  <si>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</si>
  <si>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</si>
  <si>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</si>
  <si>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</si>
  <si>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</si>
  <si>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</si>
  <si>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</si>
  <si>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</si>
  <si>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</si>
  <si>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</si>
  <si>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</si>
  <si>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</si>
  <si>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</si>
  <si>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</si>
  <si>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</si>
  <si>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</si>
  <si>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</si>
  <si>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</si>
  <si>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</si>
  <si>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</si>
  <si>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</si>
  <si>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</si>
  <si>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</si>
  <si>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</si>
  <si>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</si>
  <si>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</si>
  <si>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</si>
  <si>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</si>
  <si>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</si>
  <si>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</si>
  <si>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</si>
  <si>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</si>
  <si>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</si>
  <si>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</si>
  <si>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</si>
  <si>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</si>
  <si>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</si>
  <si>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</si>
  <si>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</si>
  <si>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</si>
  <si>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</si>
  <si>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</si>
  <si>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</si>
  <si>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</si>
  <si>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</si>
  <si>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</si>
  <si>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</si>
  <si>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</si>
  <si>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</si>
  <si>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</si>
  <si>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</si>
  <si>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</si>
  <si>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</si>
  <si>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</si>
  <si>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</si>
  <si>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</si>
  <si>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</si>
  <si>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</si>
  <si>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</si>
  <si>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</si>
  <si>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</si>
  <si>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</si>
  <si>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</si>
  <si>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</si>
  <si>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</si>
  <si>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</si>
  <si>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</si>
  <si>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</si>
  <si>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</si>
  <si>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</si>
  <si>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</si>
  <si>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</si>
  <si>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</si>
  <si>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</si>
  <si>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</si>
  <si>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</si>
  <si>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</si>
  <si>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</si>
  <si>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</si>
  <si>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</si>
  <si>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</si>
  <si>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</si>
  <si>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</si>
  <si>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</si>
  <si>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</si>
  <si>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</si>
  <si>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</si>
  <si>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</si>
  <si>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</si>
  <si>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</si>
  <si>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</si>
  <si>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</si>
  <si>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</si>
  <si>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</si>
  <si>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</si>
  <si>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</si>
  <si>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</si>
  <si>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</si>
  <si>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</si>
  <si>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</si>
  <si>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</si>
  <si>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</si>
  <si>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</si>
  <si>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</si>
  <si>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</si>
  <si>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</si>
  <si>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</si>
  <si>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</si>
  <si>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</si>
  <si>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</si>
  <si>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</si>
  <si>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</si>
  <si>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</si>
  <si>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</si>
  <si>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</si>
  <si>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</si>
  <si>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</si>
  <si>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</si>
  <si>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</si>
  <si>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</si>
  <si>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</si>
  <si>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</si>
  <si>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</si>
  <si>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</si>
  <si>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</si>
  <si>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</si>
  <si>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</si>
  <si>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</si>
  <si>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</si>
  <si>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</si>
  <si>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</si>
  <si>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</si>
  <si>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</si>
  <si>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</si>
  <si>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</si>
  <si>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</si>
  <si>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</si>
  <si>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</si>
  <si>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</si>
  <si>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</si>
  <si>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</si>
  <si>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</si>
  <si>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</si>
  <si>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</si>
  <si>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</si>
  <si>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</si>
  <si>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</si>
  <si>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</si>
  <si>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</si>
  <si>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</si>
  <si>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</si>
  <si>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</si>
  <si>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</si>
  <si>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</si>
  <si>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</si>
  <si>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</si>
  <si>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</si>
  <si>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</si>
  <si>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</si>
  <si>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</si>
  <si>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</si>
  <si>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</si>
  <si>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</si>
  <si>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</si>
  <si>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</si>
  <si>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</si>
  <si>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</si>
  <si>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</si>
  <si>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</si>
  <si>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</si>
  <si>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</si>
  <si>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</si>
  <si>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</si>
  <si>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</si>
  <si>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</si>
  <si>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</si>
  <si>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</si>
  <si>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</si>
  <si>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</si>
  <si>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</si>
  <si>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</si>
  <si>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</si>
  <si>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</si>
  <si>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</si>
  <si>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</si>
  <si>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</si>
  <si>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</si>
  <si>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</si>
  <si>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</si>
  <si>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</si>
  <si>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</si>
  <si>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</si>
  <si>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</si>
  <si>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</si>
  <si>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</si>
  <si>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</si>
  <si>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</si>
  <si>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</si>
  <si>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</si>
  <si>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</si>
  <si>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</si>
  <si>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</si>
  <si>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</si>
  <si>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</si>
  <si>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</si>
  <si>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</si>
  <si>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</si>
  <si>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</si>
  <si>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</si>
  <si>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</si>
  <si>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</si>
  <si>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</si>
  <si>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</si>
  <si>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</si>
  <si>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</si>
  <si>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</si>
  <si>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</si>
  <si>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</si>
  <si>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</si>
  <si>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</si>
  <si>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</si>
  <si>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</si>
  <si>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</si>
  <si>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</si>
  <si>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</si>
  <si>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</si>
  <si>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</si>
  <si>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</si>
  <si>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</si>
  <si>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</si>
  <si>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</si>
  <si>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</si>
  <si>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</si>
  <si>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</si>
  <si>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</si>
  <si>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</si>
  <si>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</si>
  <si>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</si>
  <si>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</si>
  <si>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</si>
  <si>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</si>
  <si>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</si>
  <si>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</si>
  <si>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</si>
  <si>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</si>
  <si>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</si>
  <si>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</si>
  <si>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</si>
  <si>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</si>
  <si>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</si>
  <si>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</si>
  <si>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</si>
  <si>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</si>
  <si>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</si>
  <si>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</si>
  <si>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</si>
  <si>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</si>
  <si>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</si>
  <si>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</si>
  <si>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</si>
  <si>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</si>
  <si>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</si>
  <si>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</si>
  <si>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</si>
  <si>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</si>
  <si>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</si>
  <si>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</si>
  <si>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</si>
  <si>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</si>
  <si>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</si>
  <si>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</si>
  <si>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</si>
  <si>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</si>
  <si>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</si>
  <si>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</si>
  <si>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</si>
  <si>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</si>
  <si>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</si>
  <si>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</si>
  <si>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</si>
  <si>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</si>
  <si>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</si>
  <si>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</si>
  <si>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</si>
  <si>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</si>
  <si>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</si>
  <si>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</si>
  <si>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</si>
  <si>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</si>
  <si>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</si>
  <si>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</si>
  <si>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</si>
  <si>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</si>
  <si>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</si>
  <si>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</si>
  <si>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</si>
  <si>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</si>
  <si>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</si>
  <si>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</si>
  <si>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</si>
  <si>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</si>
  <si>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</si>
  <si>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</si>
  <si>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</si>
  <si>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</si>
  <si>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</si>
  <si>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</si>
  <si>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</si>
  <si>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</si>
  <si>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</si>
  <si>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</si>
  <si>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</si>
  <si>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</si>
  <si>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</si>
  <si>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</si>
  <si>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</si>
  <si>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</si>
  <si>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</si>
  <si>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</si>
  <si>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</si>
  <si>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</si>
  <si>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</si>
  <si>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</si>
  <si>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</si>
  <si>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</si>
  <si>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</si>
  <si>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</si>
  <si>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</si>
  <si>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</si>
  <si>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</si>
  <si>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</si>
  <si>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</si>
  <si>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</si>
  <si>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</si>
  <si>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</si>
  <si>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</si>
  <si>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</si>
  <si>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</si>
  <si>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</si>
  <si>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</si>
  <si>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</si>
  <si>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</si>
  <si>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</si>
  <si>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</si>
  <si>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</si>
  <si>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</si>
  <si>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</si>
  <si>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</si>
  <si>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</si>
  <si>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</si>
  <si>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</si>
  <si>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</si>
  <si>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</si>
  <si>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</si>
  <si>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</si>
  <si>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</si>
  <si>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</si>
  <si>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</si>
  <si>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</si>
  <si>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</si>
  <si>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</si>
  <si>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</si>
  <si>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</si>
  <si>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</si>
  <si>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</si>
  <si>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</si>
  <si>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</si>
  <si>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</si>
  <si>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</si>
  <si>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</si>
  <si>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</si>
  <si>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</si>
  <si>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</si>
  <si>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</si>
  <si>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</si>
  <si>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</si>
  <si>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</si>
  <si>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</si>
  <si>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</si>
  <si>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</si>
  <si>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</si>
  <si>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</si>
  <si>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</si>
  <si>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</si>
  <si>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</si>
  <si>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</si>
  <si>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</si>
  <si>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</si>
  <si>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</si>
  <si>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</si>
  <si>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</si>
  <si>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</si>
  <si>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</si>
  <si>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</si>
  <si>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</si>
  <si>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</si>
  <si>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</si>
  <si>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</si>
  <si>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</si>
  <si>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</si>
  <si>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</si>
  <si>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</si>
  <si>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</si>
  <si>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</si>
  <si>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</si>
  <si>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</si>
  <si>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</si>
  <si>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</si>
  <si>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</si>
  <si>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</si>
  <si>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</si>
  <si>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</si>
  <si>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</si>
  <si>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</si>
  <si>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</si>
  <si>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</si>
  <si>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</si>
  <si>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</si>
  <si>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</si>
  <si>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</si>
  <si>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</si>
  <si>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</si>
  <si>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</si>
  <si>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</si>
  <si>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</si>
  <si>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</si>
  <si>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</si>
  <si>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</si>
  <si>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</si>
  <si>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</si>
  <si>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</si>
  <si>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</si>
  <si>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</si>
  <si>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</si>
  <si>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</si>
  <si>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</si>
  <si>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</si>
  <si>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</si>
  <si>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</si>
  <si>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</si>
  <si>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</si>
  <si>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</si>
  <si>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</si>
  <si>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</si>
  <si>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</si>
  <si>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</si>
  <si>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</si>
  <si>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</si>
  <si>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</si>
  <si>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</si>
  <si>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</si>
  <si>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</si>
  <si>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</si>
  <si>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</si>
  <si>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</si>
  <si>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</si>
  <si>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</si>
  <si>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</si>
  <si>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</si>
  <si>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</si>
  <si>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</si>
  <si>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</si>
  <si>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</si>
  <si>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</si>
  <si>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</si>
  <si>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</si>
  <si>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</si>
  <si>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</si>
  <si>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</si>
  <si>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</si>
  <si>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</si>
  <si>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</si>
  <si>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</si>
  <si>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</si>
  <si>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</si>
  <si>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</si>
  <si>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</si>
  <si>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</si>
  <si>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</si>
  <si>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</si>
  <si>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</si>
  <si>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</si>
  <si>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</si>
  <si>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</si>
  <si>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</si>
  <si>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</si>
  <si>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</si>
  <si>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</si>
  <si>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</si>
  <si>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</si>
  <si>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</si>
  <si>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</si>
  <si>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</si>
  <si>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</si>
  <si>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</si>
  <si>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</si>
  <si>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</si>
  <si>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</si>
  <si>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</si>
  <si>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</si>
  <si>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</si>
  <si>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</si>
  <si>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</si>
  <si>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</si>
  <si>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</si>
  <si>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</si>
  <si>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</si>
  <si>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</si>
  <si>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</si>
  <si>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</si>
  <si>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</si>
  <si>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</si>
  <si>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</si>
  <si>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</si>
  <si>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</si>
  <si>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</si>
  <si>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</si>
  <si>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</si>
  <si>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</si>
  <si>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</si>
  <si>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</si>
  <si>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</si>
  <si>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</si>
  <si>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</si>
  <si>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</si>
  <si>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</si>
  <si>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</si>
  <si>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</si>
  <si>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</si>
  <si>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</si>
  <si>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</si>
  <si>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</si>
  <si>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</si>
  <si>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</si>
  <si>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</si>
  <si>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</si>
  <si>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</si>
  <si>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</si>
  <si>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</si>
  <si>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</si>
  <si>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</si>
  <si>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</si>
  <si>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</si>
  <si>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</si>
  <si>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</si>
  <si>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</si>
  <si>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</si>
  <si>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</si>
  <si>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</si>
  <si>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</si>
  <si>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</si>
  <si>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</si>
  <si>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</si>
  <si>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</si>
  <si>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</si>
  <si>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</si>
  <si>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</si>
  <si>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</si>
  <si>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</si>
  <si>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</si>
  <si>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</si>
  <si>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</si>
  <si>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</si>
  <si>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</si>
  <si>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</si>
  <si>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</si>
  <si>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</si>
  <si>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</si>
  <si>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</si>
  <si>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</si>
  <si>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</si>
  <si>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</si>
  <si>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</si>
  <si>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</si>
  <si>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</si>
  <si>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</si>
  <si>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</si>
  <si>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</si>
  <si>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</si>
  <si>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</si>
  <si>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</si>
  <si>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</si>
  <si>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</si>
  <si>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</si>
  <si>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</si>
  <si>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</si>
  <si>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</si>
  <si>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</si>
  <si>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</si>
  <si>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</si>
  <si>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</si>
  <si>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</si>
  <si>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</si>
  <si>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</si>
  <si>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</si>
  <si>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</si>
  <si>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</si>
  <si>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</si>
  <si>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</si>
  <si>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</si>
  <si>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</si>
  <si>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</si>
  <si>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</si>
  <si>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</si>
  <si>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</si>
  <si>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</si>
  <si>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</si>
  <si>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</si>
  <si>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</si>
  <si>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</si>
  <si>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</si>
  <si>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</si>
  <si>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</si>
  <si>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</si>
  <si>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</si>
  <si>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</si>
  <si>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</si>
  <si>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</si>
  <si>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</si>
  <si>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</si>
  <si>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</si>
  <si>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</si>
  <si>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</si>
  <si>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</si>
  <si>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</si>
  <si>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</si>
  <si>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</si>
  <si>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</si>
  <si>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</si>
  <si>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</si>
  <si>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</si>
  <si>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</si>
  <si>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</si>
  <si>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</si>
  <si>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</si>
  <si>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</si>
  <si>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</si>
  <si>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</si>
  <si>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</si>
  <si>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</si>
  <si>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</si>
  <si>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</si>
  <si>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</si>
  <si>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</si>
  <si>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</si>
  <si>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</si>
  <si>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</si>
  <si>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</si>
  <si>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</si>
  <si>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</si>
  <si>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</si>
  <si>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</si>
  <si>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</si>
  <si>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</si>
  <si>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</si>
  <si>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</si>
  <si>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</si>
  <si>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</si>
  <si>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</si>
  <si>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</si>
  <si>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</si>
  <si>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</si>
  <si>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</si>
  <si>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</si>
  <si>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</si>
  <si>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</si>
  <si>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</si>
  <si>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</si>
  <si>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</si>
  <si>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</si>
  <si>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</si>
  <si>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</si>
  <si>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</si>
  <si>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</si>
  <si>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</si>
  <si>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</si>
  <si>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</si>
  <si>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</si>
  <si>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</si>
  <si>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</si>
  <si>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</si>
  <si>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</si>
  <si>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</si>
  <si>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</si>
  <si>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</si>
  <si>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</si>
  <si>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</si>
  <si>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</si>
  <si>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</si>
  <si>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</si>
  <si>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</si>
  <si>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</si>
  <si>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</si>
  <si>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</si>
  <si>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</si>
  <si>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</si>
  <si>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</si>
  <si>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</si>
  <si>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</si>
  <si>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</si>
  <si>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</si>
  <si>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</si>
  <si>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</si>
  <si>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</si>
  <si>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</si>
  <si>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</si>
  <si>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</si>
  <si>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</si>
  <si>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</si>
  <si>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</si>
  <si>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</si>
  <si>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</si>
  <si>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</si>
  <si>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</si>
  <si>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</si>
  <si>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</si>
  <si>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</si>
  <si>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</si>
  <si>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</si>
  <si>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</si>
  <si>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</si>
  <si>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</si>
  <si>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</si>
  <si>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</si>
  <si>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</si>
  <si>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</si>
  <si>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</si>
  <si>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</si>
  <si>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</si>
  <si>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</si>
  <si>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</si>
  <si>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</si>
  <si>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</si>
  <si>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</si>
  <si>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</si>
  <si>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</si>
  <si>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</si>
  <si>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</si>
  <si>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</si>
  <si>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</si>
  <si>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</si>
  <si>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</si>
  <si>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</si>
  <si>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</si>
  <si>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</si>
  <si>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</si>
  <si>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</si>
  <si>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</si>
  <si>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</si>
  <si>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</si>
  <si>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</si>
  <si>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</si>
  <si>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</si>
  <si>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</si>
  <si>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</si>
  <si>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</si>
  <si>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</si>
  <si>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</si>
  <si>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</si>
  <si>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</si>
  <si>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</si>
  <si>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</si>
  <si>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</si>
  <si>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</si>
  <si>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</si>
  <si>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</si>
  <si>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</si>
  <si>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</si>
  <si>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</si>
  <si>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</si>
  <si>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</si>
  <si>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</si>
  <si>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</si>
  <si>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</si>
  <si>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</si>
  <si>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</si>
  <si>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</si>
  <si>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</si>
  <si>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</si>
  <si>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</si>
  <si>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</si>
  <si>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</si>
  <si>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</si>
  <si>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</si>
  <si>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</si>
  <si>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</si>
  <si>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</si>
  <si>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</si>
  <si>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</si>
  <si>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</si>
  <si>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</si>
  <si>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</si>
  <si>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</si>
  <si>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</si>
  <si>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</si>
  <si>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</si>
  <si>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</si>
  <si>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</si>
  <si>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</si>
  <si>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</si>
  <si>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</si>
  <si>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</si>
  <si>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</si>
  <si>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</si>
  <si>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</si>
  <si>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</si>
  <si>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</si>
  <si>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</si>
  <si>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</si>
  <si>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</si>
  <si>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</si>
  <si>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</si>
  <si>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</si>
  <si>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</si>
  <si>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</si>
  <si>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</si>
  <si>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</si>
  <si>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</si>
  <si>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</si>
  <si>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</si>
  <si>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</si>
  <si>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</si>
  <si>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</si>
  <si>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</si>
  <si>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</si>
  <si>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</si>
  <si>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</si>
  <si>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</si>
  <si>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</si>
  <si>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</si>
  <si>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</si>
  <si>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</si>
  <si>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</si>
  <si>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</si>
  <si>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</si>
  <si>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</si>
  <si>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</si>
  <si>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</si>
  <si>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</si>
  <si>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</si>
  <si>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</si>
  <si>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</si>
  <si>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</si>
  <si>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</si>
  <si>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</si>
  <si>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</si>
  <si>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</si>
  <si>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</si>
  <si>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</si>
  <si>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</si>
  <si>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</si>
  <si>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</si>
  <si>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</si>
  <si>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</si>
  <si>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</si>
  <si>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</si>
  <si>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</si>
  <si>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</si>
  <si>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</si>
  <si>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</si>
  <si>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</si>
  <si>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</si>
  <si>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</si>
  <si>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</si>
  <si>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</si>
  <si>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</si>
  <si>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</si>
  <si>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</si>
  <si>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</si>
  <si>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</si>
  <si>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</si>
  <si>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</si>
  <si>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</si>
  <si>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</si>
  <si>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</si>
  <si>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</si>
  <si>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</si>
  <si>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</si>
  <si>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</si>
  <si>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</si>
  <si>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</si>
  <si>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</si>
  <si>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</si>
  <si>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</si>
  <si>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</si>
  <si>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</si>
  <si>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</si>
  <si>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</si>
  <si>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</si>
  <si>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</si>
  <si>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</si>
  <si>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</si>
  <si>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</si>
  <si>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</si>
  <si>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</si>
  <si>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</si>
  <si>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</si>
  <si>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</si>
  <si>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</si>
  <si>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</si>
  <si>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</si>
  <si>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</si>
  <si>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</si>
  <si>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</si>
  <si>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</si>
  <si>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</si>
  <si>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</si>
  <si>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</si>
  <si>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</si>
  <si>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</si>
  <si>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</si>
  <si>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</si>
  <si>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</si>
  <si>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</si>
  <si>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</si>
  <si>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</si>
  <si>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</si>
  <si>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</si>
  <si>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</si>
  <si>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</si>
  <si>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</si>
  <si>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</si>
  <si>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</si>
  <si>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</si>
  <si>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</si>
  <si>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</si>
  <si>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</si>
  <si>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</si>
  <si>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</si>
  <si>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</si>
  <si>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</si>
  <si>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</si>
  <si>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</si>
  <si>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</si>
  <si>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</si>
  <si>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</si>
  <si>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</si>
  <si>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</si>
  <si>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</si>
  <si>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</si>
  <si>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</si>
  <si>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</si>
  <si>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</si>
  <si>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</si>
  <si>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</si>
  <si>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</si>
  <si>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</si>
  <si>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</si>
  <si>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</si>
  <si>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</si>
  <si>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</si>
  <si>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</si>
  <si>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</si>
  <si>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</si>
  <si>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</si>
  <si>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</si>
  <si>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</si>
  <si>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</si>
  <si>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</si>
  <si>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</si>
  <si>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</si>
  <si>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</si>
  <si>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</si>
  <si>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</si>
  <si>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</si>
  <si>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</si>
  <si>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</si>
  <si>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</si>
  <si>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</si>
  <si>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</si>
  <si>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</si>
  <si>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</si>
  <si>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</si>
  <si>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</si>
  <si>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</si>
  <si>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</si>
  <si>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</si>
  <si>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</si>
  <si>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</si>
  <si>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</si>
  <si>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</si>
  <si>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</si>
  <si>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</si>
  <si>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</si>
  <si>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</si>
  <si>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</si>
  <si>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</si>
  <si>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</si>
  <si>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</si>
  <si>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</si>
  <si>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</si>
  <si>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</si>
  <si>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</si>
  <si>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</si>
  <si>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</si>
  <si>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</si>
  <si>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</si>
  <si>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</si>
  <si>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</si>
  <si>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</si>
  <si>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</si>
  <si>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</si>
  <si>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</si>
  <si>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</si>
  <si>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</si>
  <si>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</si>
  <si>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</si>
  <si>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</si>
  <si>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</si>
  <si>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</si>
  <si>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</si>
  <si>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</si>
  <si>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</si>
  <si>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</si>
  <si>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</si>
  <si>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</si>
  <si>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</si>
  <si>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</si>
  <si>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</si>
  <si>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</si>
  <si>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</si>
  <si>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</si>
  <si>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</si>
  <si>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</si>
  <si>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</si>
  <si>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</si>
  <si>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</si>
  <si>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</si>
  <si>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</si>
  <si>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</si>
  <si>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</si>
  <si>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</si>
  <si>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</si>
  <si>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</si>
  <si>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</si>
  <si>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</si>
  <si>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</si>
  <si>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</si>
  <si>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</si>
  <si>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</si>
  <si>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</si>
  <si>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</si>
  <si>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</si>
  <si>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</si>
  <si>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</si>
  <si>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</si>
  <si>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</si>
  <si>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</si>
  <si>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</si>
  <si>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</si>
  <si>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</si>
  <si>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</si>
  <si>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</si>
  <si>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</si>
  <si>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</si>
  <si>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</si>
  <si>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</si>
  <si>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</si>
  <si>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</si>
  <si>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</si>
  <si>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</si>
  <si>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</si>
  <si>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</si>
  <si>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</si>
  <si>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</si>
  <si>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</si>
  <si>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</si>
  <si>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</si>
  <si>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</si>
  <si>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</si>
  <si>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</si>
  <si>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</si>
  <si>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</si>
  <si>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</si>
  <si>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</si>
  <si>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</si>
  <si>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</si>
  <si>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</si>
  <si>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</si>
  <si>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</si>
  <si>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</si>
  <si>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</si>
  <si>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</si>
  <si>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</si>
  <si>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</si>
  <si>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</si>
  <si>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</si>
  <si>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</si>
  <si>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</si>
  <si>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</si>
  <si>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</si>
  <si>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</si>
  <si>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</si>
  <si>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</si>
  <si>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</si>
  <si>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</si>
  <si>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</si>
  <si>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</si>
  <si>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</si>
  <si>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</si>
  <si>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</si>
  <si>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</si>
  <si>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</si>
  <si>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</si>
  <si>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</si>
  <si>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</si>
  <si>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</si>
  <si>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</si>
  <si>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</si>
  <si>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</si>
  <si>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</si>
  <si>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</si>
  <si>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</si>
  <si>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</si>
  <si>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</si>
  <si>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</si>
  <si>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</si>
  <si>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</si>
  <si>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</si>
  <si>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</si>
  <si>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</si>
  <si>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</si>
  <si>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</si>
  <si>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</si>
  <si>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</si>
  <si>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</si>
  <si>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</si>
  <si>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</si>
  <si>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</si>
  <si>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</si>
  <si>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</si>
  <si>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</si>
  <si>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</si>
  <si>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</si>
  <si>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</si>
  <si>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</si>
  <si>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</si>
  <si>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</si>
  <si>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</si>
  <si>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</si>
  <si>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</si>
  <si>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</si>
  <si>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</si>
  <si>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</si>
  <si>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</si>
  <si>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</si>
  <si>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</si>
  <si>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</si>
  <si>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</si>
  <si>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</si>
  <si>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</si>
  <si>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</si>
  <si>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</si>
  <si>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</si>
  <si>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</si>
  <si>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</si>
  <si>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</si>
  <si>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</si>
  <si>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</si>
  <si>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</si>
  <si>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</si>
  <si>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</si>
  <si>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</si>
  <si>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</si>
  <si>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</si>
  <si>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</si>
  <si>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</si>
  <si>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</si>
  <si>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</si>
  <si>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</si>
  <si>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</si>
  <si>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</si>
  <si>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</si>
  <si>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</si>
  <si>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</si>
  <si>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</si>
  <si>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</si>
  <si>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</si>
  <si>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</si>
  <si>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</si>
  <si>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</si>
  <si>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</si>
  <si>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</si>
  <si>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</si>
  <si>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</si>
  <si>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</si>
  <si>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</si>
  <si>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</si>
  <si>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</si>
  <si>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</si>
  <si>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</si>
  <si>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</si>
  <si>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</si>
  <si>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</si>
  <si>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</si>
  <si>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</si>
  <si>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</si>
  <si>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</si>
  <si>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</si>
  <si>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</si>
  <si>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</si>
  <si>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</si>
  <si>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</si>
  <si>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</si>
  <si>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</si>
  <si>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</si>
  <si>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</si>
  <si>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</si>
  <si>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</si>
  <si>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</si>
  <si>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</si>
  <si>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</si>
  <si>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</si>
  <si>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</si>
  <si>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</si>
  <si>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</si>
  <si>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</si>
  <si>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</si>
  <si>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</si>
  <si>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</si>
  <si>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</si>
  <si>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</si>
  <si>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</si>
  <si>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</si>
  <si>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</si>
  <si>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</si>
  <si>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</si>
  <si>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</si>
  <si>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</si>
  <si>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</si>
  <si>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</si>
  <si>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</si>
  <si>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</si>
  <si>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</si>
  <si>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</si>
  <si>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</si>
  <si>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</si>
  <si>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</si>
  <si>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</si>
  <si>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</si>
  <si>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</si>
  <si>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</si>
  <si>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</si>
  <si>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</si>
  <si>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</si>
  <si>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</si>
  <si>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</si>
  <si>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</si>
  <si>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</si>
  <si>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</si>
  <si>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</si>
  <si>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</si>
  <si>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</si>
  <si>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</si>
  <si>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</si>
  <si>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</si>
  <si>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</si>
  <si>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</si>
  <si>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</si>
  <si>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</si>
  <si>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</si>
  <si>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</si>
  <si>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</si>
  <si>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</si>
  <si>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</si>
  <si>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</si>
  <si>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</si>
  <si>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</si>
  <si>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</si>
  <si>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</si>
  <si>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</si>
  <si>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</si>
  <si>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</si>
  <si>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</si>
  <si>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</si>
  <si>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</si>
  <si>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</si>
  <si>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</si>
  <si>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</si>
  <si>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</si>
  <si>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</si>
  <si>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</si>
  <si>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</si>
  <si>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</si>
  <si>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</si>
  <si>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</si>
  <si>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</si>
  <si>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</si>
  <si>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</si>
  <si>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</si>
  <si>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</si>
  <si>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</si>
  <si>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</si>
  <si>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</si>
  <si>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</si>
  <si>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</si>
  <si>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</si>
  <si>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</si>
  <si>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</si>
  <si>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</si>
  <si>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</si>
  <si>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</si>
  <si>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</si>
  <si>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</si>
  <si>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</si>
  <si>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</si>
  <si>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</si>
  <si>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</si>
  <si>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</si>
  <si>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</si>
  <si>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</si>
  <si>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</si>
  <si>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</si>
  <si>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</si>
  <si>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</si>
  <si>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</si>
  <si>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</si>
  <si>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</si>
  <si>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</si>
  <si>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</si>
  <si>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</si>
  <si>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</si>
  <si>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</si>
  <si>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</si>
  <si>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</si>
  <si>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</si>
  <si>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</si>
  <si>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</si>
  <si>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</si>
  <si>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</si>
  <si>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</si>
  <si>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</si>
  <si>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</si>
  <si>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</si>
  <si>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</si>
  <si>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</si>
  <si>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</si>
  <si>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</si>
  <si>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</si>
  <si>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</si>
  <si>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</si>
  <si>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</si>
  <si>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</si>
  <si>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</si>
  <si>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</si>
  <si>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</si>
  <si>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</si>
  <si>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</si>
  <si>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</si>
  <si>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</si>
  <si>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</si>
  <si>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</si>
  <si>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</si>
  <si>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</si>
  <si>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</si>
  <si>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</si>
  <si>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</si>
  <si>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</si>
  <si>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</si>
  <si>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</si>
  <si>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</si>
  <si>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</si>
  <si>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</si>
  <si>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</si>
  <si>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</si>
  <si>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</si>
  <si>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</si>
  <si>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</si>
  <si>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</si>
  <si>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</si>
  <si>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</si>
  <si>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</si>
  <si>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</si>
  <si>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</si>
  <si>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</si>
  <si>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</si>
  <si>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</si>
  <si>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</si>
  <si>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</si>
  <si>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</si>
  <si>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</si>
  <si>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</si>
  <si>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</si>
  <si>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</si>
  <si>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</si>
  <si>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</si>
  <si>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</si>
  <si>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</si>
  <si>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</si>
  <si>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</si>
  <si>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</si>
  <si>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</si>
  <si>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</si>
  <si>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</si>
  <si>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</si>
  <si>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</si>
  <si>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</si>
  <si>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</si>
  <si>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</si>
  <si>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</si>
  <si>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</si>
  <si>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</si>
  <si>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</si>
  <si>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</si>
  <si>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</si>
  <si>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</si>
  <si>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</si>
  <si>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</si>
  <si>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</si>
  <si>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</si>
  <si>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</si>
  <si>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</si>
  <si>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</si>
  <si>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</si>
  <si>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</si>
  <si>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</si>
  <si>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</si>
  <si>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</si>
  <si>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</si>
  <si>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</si>
  <si>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</si>
  <si>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</si>
  <si>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</si>
  <si>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</si>
  <si>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</si>
  <si>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</si>
  <si>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</si>
  <si>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</si>
  <si>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</si>
  <si>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</si>
  <si>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</si>
  <si>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</si>
  <si>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</si>
  <si>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</si>
  <si>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</si>
  <si>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</si>
  <si>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</si>
  <si>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</si>
  <si>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</si>
  <si>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</si>
  <si>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</si>
  <si>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</si>
  <si>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</si>
  <si>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</si>
  <si>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</si>
  <si>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</si>
  <si>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</si>
  <si>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</si>
  <si>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</si>
  <si>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</si>
  <si>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</si>
  <si>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</si>
  <si>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</si>
  <si>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</si>
  <si>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</si>
  <si>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</si>
  <si>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</si>
  <si>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</si>
  <si>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</si>
  <si>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</si>
  <si>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</si>
  <si>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</si>
  <si>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</si>
  <si>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</si>
  <si>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</si>
  <si>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</si>
  <si>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</si>
  <si>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</si>
  <si>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</si>
  <si>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</si>
  <si>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</si>
  <si>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</si>
  <si>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</si>
  <si>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</si>
  <si>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</si>
  <si>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</si>
  <si>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</si>
  <si>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</si>
  <si>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</si>
  <si>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</si>
  <si>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</si>
  <si>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</si>
  <si>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</si>
  <si>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</si>
  <si>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</si>
  <si>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</si>
  <si>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</si>
  <si>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</si>
  <si>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</si>
  <si>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</si>
  <si>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</si>
  <si>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</si>
  <si>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</si>
  <si>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</si>
  <si>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</si>
  <si>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</si>
  <si>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</si>
  <si>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</si>
  <si>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</si>
  <si>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</si>
  <si>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</si>
  <si>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</si>
  <si>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</si>
  <si>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</si>
  <si>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</si>
  <si>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</si>
  <si>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</si>
  <si>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</si>
  <si>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</si>
  <si>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</si>
  <si>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</si>
  <si>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</si>
  <si>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</si>
  <si>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</si>
  <si>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</si>
  <si>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</si>
  <si>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</si>
  <si>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</si>
  <si>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</si>
  <si>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</si>
  <si>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</si>
  <si>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</si>
  <si>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</si>
  <si>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</si>
  <si>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</si>
  <si>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</si>
  <si>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</si>
  <si>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</si>
  <si>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</si>
  <si>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</si>
  <si>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</si>
  <si>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</si>
  <si>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</si>
  <si>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</si>
  <si>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</si>
  <si>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</si>
  <si>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</si>
  <si>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</si>
  <si>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</si>
  <si>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</si>
  <si>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</si>
  <si>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</si>
  <si>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</si>
  <si>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</si>
  <si>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</si>
  <si>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</si>
  <si>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</si>
  <si>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</si>
  <si>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</si>
  <si>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</si>
  <si>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</si>
  <si>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</si>
  <si>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</si>
  <si>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</si>
  <si>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</si>
  <si>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</si>
  <si>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</si>
  <si>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</si>
  <si>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</si>
  <si>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</si>
  <si>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</si>
  <si>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</si>
  <si>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</si>
  <si>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</si>
  <si>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</si>
  <si>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</si>
  <si>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</si>
  <si>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</si>
  <si>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</si>
  <si>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</si>
  <si>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</si>
  <si>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</si>
  <si>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</si>
  <si>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</si>
  <si>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</si>
  <si>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</si>
  <si>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</si>
  <si>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</si>
  <si>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</si>
  <si>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</si>
  <si>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</si>
  <si>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</si>
  <si>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</si>
  <si>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</si>
  <si>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</si>
  <si>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</si>
  <si>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</si>
  <si>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</si>
  <si>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</si>
  <si>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</si>
  <si>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</si>
  <si>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</si>
  <si>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</si>
  <si>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</si>
  <si>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</si>
  <si>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</si>
  <si>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</si>
  <si>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</si>
  <si>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</si>
  <si>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</si>
  <si>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</si>
  <si>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</si>
  <si>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</si>
  <si>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</si>
  <si>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</si>
  <si>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</si>
  <si>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</si>
  <si>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</si>
  <si>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</si>
  <si>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</si>
  <si>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</si>
  <si>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</si>
  <si>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</si>
  <si>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</si>
  <si>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</si>
  <si>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</si>
  <si>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</si>
  <si>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</si>
  <si>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</si>
  <si>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</si>
  <si>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</si>
  <si>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</si>
  <si>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</si>
  <si>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</si>
  <si>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</si>
  <si>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</si>
  <si>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</si>
  <si>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</si>
  <si>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</si>
  <si>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</si>
  <si>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</si>
  <si>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</si>
  <si>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</si>
  <si>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</si>
  <si>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</si>
  <si>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</si>
  <si>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</si>
  <si>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</si>
  <si>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</si>
  <si>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</si>
  <si>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</si>
  <si>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</si>
  <si>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</si>
  <si>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</si>
  <si>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</si>
  <si>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</si>
  <si>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</si>
  <si>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</si>
  <si>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</si>
  <si>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</si>
  <si>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</si>
  <si>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</si>
  <si>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</si>
  <si>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</si>
  <si>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</si>
  <si>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</si>
  <si>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</si>
  <si>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</si>
  <si>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</si>
  <si>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</si>
  <si>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</si>
  <si>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</si>
  <si>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</si>
  <si>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</si>
  <si>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</si>
  <si>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</si>
  <si>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</si>
  <si>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</si>
  <si>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</si>
  <si>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</si>
  <si>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</si>
  <si>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</si>
  <si>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</si>
  <si>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</si>
  <si>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</si>
  <si>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</si>
  <si>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</si>
  <si>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</si>
  <si>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</si>
  <si>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</si>
  <si>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</si>
  <si>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</si>
  <si>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</si>
  <si>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</si>
  <si>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</si>
  <si>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</si>
  <si>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</si>
  <si>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</si>
  <si>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</si>
  <si>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</si>
  <si>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</si>
  <si>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</si>
  <si>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</si>
  <si>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</si>
  <si>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</si>
  <si>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</si>
  <si>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</si>
  <si>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</si>
  <si>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</si>
  <si>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</si>
  <si>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</si>
  <si>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</si>
  <si>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</si>
  <si>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</si>
  <si>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</si>
  <si>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</si>
  <si>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</si>
  <si>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</si>
  <si>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</si>
  <si>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</si>
  <si>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</si>
  <si>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</si>
  <si>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</si>
  <si>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</si>
  <si>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</si>
  <si>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</si>
  <si>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</si>
  <si>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</si>
  <si>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</si>
  <si>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</si>
  <si>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</si>
  <si>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</si>
  <si>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</si>
  <si>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</si>
  <si>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</si>
  <si>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</si>
  <si>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</si>
  <si>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</si>
  <si>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</si>
  <si>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</si>
  <si>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</si>
  <si>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</si>
  <si>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</si>
  <si>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</si>
  <si>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</si>
  <si>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</si>
  <si>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</si>
  <si>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</si>
  <si>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</si>
  <si>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</si>
  <si>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</si>
  <si>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</si>
  <si>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</si>
  <si>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</si>
  <si>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</si>
  <si>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</si>
  <si>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</si>
  <si>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</si>
  <si>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</si>
  <si>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</si>
  <si>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</si>
  <si>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</si>
  <si>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</si>
  <si>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</si>
  <si>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</si>
  <si>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</si>
  <si>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</si>
  <si>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</si>
  <si>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</si>
  <si>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</si>
  <si>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</si>
  <si>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</si>
  <si>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</si>
  <si>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</si>
  <si>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</si>
  <si>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</si>
  <si>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</si>
  <si>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</si>
  <si>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</si>
  <si>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</si>
  <si>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</si>
  <si>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</si>
  <si>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</si>
  <si>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</si>
  <si>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</si>
  <si>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</si>
  <si>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</si>
  <si>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</si>
  <si>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</si>
  <si>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</si>
  <si>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</si>
  <si>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</si>
  <si>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</si>
  <si>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</si>
  <si>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</si>
  <si>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</si>
  <si>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</si>
  <si>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</si>
  <si>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</si>
  <si>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</si>
  <si>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</si>
  <si>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</si>
  <si>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</si>
  <si>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</si>
  <si>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</si>
  <si>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</si>
  <si>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</si>
  <si>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</si>
  <si>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</si>
  <si>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</si>
  <si>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</si>
  <si>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</si>
  <si>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</si>
  <si>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</si>
  <si>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</si>
  <si>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</si>
  <si>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</si>
  <si>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</si>
  <si>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</si>
  <si>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</si>
  <si>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</si>
  <si>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</si>
  <si>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</si>
  <si>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</si>
  <si>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</si>
  <si>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</si>
  <si>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</si>
  <si>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</si>
  <si>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</si>
  <si>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</si>
  <si>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</si>
  <si>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</si>
  <si>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</si>
  <si>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</si>
  <si>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</si>
  <si>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</si>
  <si>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</si>
  <si>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</si>
  <si>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</si>
  <si>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</si>
  <si>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</si>
  <si>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</si>
  <si>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</si>
  <si>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</si>
  <si>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</si>
  <si>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</si>
  <si>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</si>
  <si>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</si>
  <si>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</si>
  <si>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</si>
  <si>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</si>
  <si>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</si>
  <si>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</si>
  <si>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</si>
  <si>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</si>
  <si>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</si>
  <si>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</si>
  <si>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</si>
  <si>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</si>
  <si>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</si>
  <si>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</si>
  <si>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</si>
  <si>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</si>
  <si>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</si>
  <si>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</si>
  <si>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</si>
  <si>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</si>
  <si>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</si>
  <si>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</si>
  <si>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</si>
  <si>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</si>
  <si>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</si>
  <si>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</si>
  <si>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</si>
  <si>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</si>
  <si>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</si>
  <si>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</si>
  <si>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</si>
  <si>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</si>
  <si>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</si>
  <si>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</si>
  <si>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</si>
  <si>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</si>
  <si>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</si>
  <si>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</si>
  <si>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</si>
  <si>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</si>
  <si>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</si>
  <si>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</si>
  <si>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</si>
  <si>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</si>
  <si>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</si>
  <si>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</si>
  <si>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</si>
  <si>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</si>
  <si>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</si>
  <si>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</si>
  <si>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</si>
  <si>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</si>
  <si>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</si>
  <si>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</si>
  <si>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</si>
  <si>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</si>
  <si>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</si>
  <si>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</si>
  <si>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</si>
  <si>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</si>
  <si>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</si>
  <si>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</si>
  <si>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</si>
  <si>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</si>
  <si>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</si>
  <si>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</si>
  <si>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</si>
  <si>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</si>
  <si>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</si>
  <si>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</si>
  <si>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</si>
  <si>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</si>
  <si>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</si>
  <si>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</si>
  <si>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</si>
  <si>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</si>
  <si>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</si>
  <si>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</si>
  <si>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</si>
  <si>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</si>
  <si>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</si>
  <si>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</si>
  <si>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</si>
  <si>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</si>
  <si>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</si>
  <si>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</si>
  <si>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</si>
  <si>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</si>
  <si>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</si>
  <si>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</si>
  <si>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</si>
  <si>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</si>
  <si>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</si>
  <si>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</si>
  <si>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</si>
  <si>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</si>
  <si>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</si>
  <si>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</si>
  <si>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</si>
  <si>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</si>
  <si>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</si>
  <si>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</si>
  <si>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</si>
  <si>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</si>
  <si>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</si>
  <si>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</si>
  <si>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</si>
  <si>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</si>
  <si>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</si>
  <si>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</si>
  <si>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</si>
  <si>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</si>
  <si>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</si>
  <si>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</si>
  <si>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</si>
  <si>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</si>
  <si>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</si>
  <si>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</si>
  <si>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</si>
  <si>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</si>
  <si>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</si>
  <si>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</si>
  <si>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</si>
  <si>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</si>
  <si>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</si>
  <si>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</si>
  <si>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</si>
  <si>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</si>
  <si>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</si>
  <si>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</si>
  <si>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</si>
  <si>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</si>
  <si>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</si>
  <si>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</si>
  <si>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</si>
  <si>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</si>
  <si>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</si>
  <si>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</si>
  <si>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</si>
  <si>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</si>
  <si>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</si>
  <si>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</si>
  <si>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</si>
  <si>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</si>
  <si>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</si>
  <si>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</si>
  <si>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</si>
  <si>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</si>
  <si>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</si>
  <si>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</si>
  <si>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</si>
  <si>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</si>
  <si>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</si>
  <si>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</si>
  <si>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</si>
  <si>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</si>
  <si>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</si>
  <si>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</si>
  <si>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</si>
  <si>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</si>
  <si>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</si>
  <si>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</si>
  <si>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</si>
  <si>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</si>
  <si>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</si>
  <si>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</si>
  <si>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</si>
  <si>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</si>
  <si>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</si>
  <si>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</si>
  <si>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</si>
  <si>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</si>
  <si>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</si>
  <si>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</si>
  <si>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</si>
  <si>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</si>
  <si>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</si>
  <si>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</si>
  <si>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</si>
  <si>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</si>
  <si>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</si>
  <si>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</si>
  <si>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</si>
  <si>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</si>
  <si>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</si>
  <si>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</si>
  <si>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</si>
  <si>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</si>
  <si>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</si>
  <si>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</si>
  <si>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</si>
  <si>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</si>
  <si>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</si>
  <si>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</si>
  <si>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</si>
  <si>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</si>
  <si>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</si>
  <si>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</si>
  <si>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</si>
  <si>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</si>
  <si>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</si>
  <si>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</si>
  <si>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</si>
  <si>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</si>
  <si>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</si>
  <si>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</si>
  <si>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</si>
  <si>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</si>
  <si>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</si>
  <si>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</si>
  <si>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</si>
  <si>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</si>
  <si>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</si>
  <si>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</si>
  <si>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</si>
  <si>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</si>
  <si>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</si>
  <si>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</si>
  <si>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</si>
  <si>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</si>
  <si>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</si>
  <si>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</si>
  <si>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</si>
  <si>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</si>
  <si>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</si>
  <si>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</si>
  <si>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</si>
  <si>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</si>
  <si>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</si>
  <si>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</si>
  <si>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</si>
  <si>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</si>
  <si>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</si>
  <si>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</si>
  <si>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</si>
  <si>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</si>
  <si>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</si>
  <si>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</si>
  <si>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</si>
  <si>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</si>
  <si>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</si>
  <si>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</si>
  <si>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</si>
  <si>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</si>
  <si>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</si>
  <si>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</si>
  <si>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</si>
  <si>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</si>
  <si>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</si>
  <si>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</si>
  <si>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</si>
  <si>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</si>
  <si>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</si>
  <si>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</si>
  <si>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</si>
  <si>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</si>
  <si>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</si>
  <si>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</si>
  <si>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</si>
  <si>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</si>
  <si>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</si>
  <si>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</si>
  <si>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</si>
  <si>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</si>
  <si>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</si>
  <si>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</si>
  <si>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</si>
  <si>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</si>
  <si>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</si>
  <si>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</si>
  <si>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</si>
  <si>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</si>
  <si>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</si>
  <si>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</si>
  <si>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</si>
  <si>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</si>
  <si>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</si>
  <si>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</si>
  <si>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</si>
  <si>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</si>
  <si>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</si>
  <si>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</si>
  <si>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</si>
  <si>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</si>
  <si>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</si>
  <si>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</si>
  <si>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</si>
  <si>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</si>
  <si>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</si>
  <si>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</si>
  <si>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</si>
  <si>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</si>
  <si>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</si>
  <si>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</si>
  <si>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</si>
  <si>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</si>
  <si>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</si>
  <si>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</si>
  <si>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</si>
  <si>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</si>
  <si>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</si>
  <si>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</si>
  <si>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</si>
  <si>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</si>
  <si>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</si>
  <si>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</si>
  <si>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</si>
  <si>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</si>
  <si>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</si>
  <si>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</si>
  <si>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</si>
  <si>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</si>
  <si>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</si>
  <si>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</si>
  <si>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</si>
  <si>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</si>
  <si>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</si>
  <si>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</si>
  <si>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</si>
  <si>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</si>
  <si>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</si>
  <si>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</si>
  <si>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</si>
  <si>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</si>
  <si>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</si>
  <si>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</si>
  <si>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</si>
  <si>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</si>
  <si>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</si>
  <si>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</si>
  <si>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</si>
  <si>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</si>
  <si>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</si>
  <si>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</si>
  <si>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</si>
  <si>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</si>
  <si>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</si>
  <si>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</si>
  <si>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</si>
  <si>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</si>
  <si>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</si>
  <si>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</si>
  <si>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</si>
  <si>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</si>
  <si>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</si>
  <si>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</si>
  <si>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</si>
  <si>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</si>
  <si>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</si>
  <si>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</si>
  <si>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</si>
  <si>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</si>
  <si>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</si>
  <si>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</si>
  <si>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</si>
  <si>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</si>
  <si>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</si>
  <si>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</si>
  <si>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</si>
  <si>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</si>
  <si>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</si>
  <si>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</si>
  <si>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</si>
  <si>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</si>
  <si>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</si>
  <si>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</si>
  <si>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</si>
  <si>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</si>
  <si>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</si>
  <si>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</si>
  <si>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</si>
  <si>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</si>
  <si>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</si>
  <si>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</si>
  <si>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</si>
  <si>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</si>
  <si>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</si>
  <si>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</si>
  <si>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</si>
  <si>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</si>
  <si>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</si>
  <si>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</si>
  <si>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</si>
  <si>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</si>
  <si>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</si>
  <si>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</si>
  <si>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</si>
  <si>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</si>
  <si>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</si>
  <si>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</si>
  <si>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</si>
  <si>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</si>
  <si>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</si>
  <si>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</si>
  <si>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</si>
  <si>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</si>
  <si>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</si>
  <si>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</si>
  <si>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</si>
  <si>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</si>
  <si>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</si>
  <si>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</si>
  <si>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</si>
  <si>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</si>
  <si>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</si>
  <si>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</si>
  <si>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</si>
  <si>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</si>
  <si>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</si>
  <si>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</si>
  <si>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</si>
  <si>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</si>
  <si>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</si>
  <si>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</si>
  <si>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</si>
  <si>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</si>
  <si>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</si>
  <si>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</si>
  <si>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</si>
  <si>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</si>
  <si>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</si>
  <si>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</si>
  <si>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</si>
  <si>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</si>
  <si>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</si>
  <si>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</si>
  <si>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</si>
  <si>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</si>
  <si>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</si>
  <si>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</si>
  <si>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</si>
  <si>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</si>
  <si>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</si>
  <si>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</si>
  <si>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</si>
  <si>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</si>
  <si>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</si>
  <si>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</si>
  <si>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</si>
  <si>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</si>
  <si>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</si>
  <si>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</si>
  <si>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</si>
  <si>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</si>
  <si>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</si>
  <si>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</si>
  <si>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</si>
  <si>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</si>
  <si>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</si>
  <si>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</si>
  <si>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</si>
  <si>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</si>
  <si>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</si>
  <si>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</si>
  <si>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</si>
  <si>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</si>
  <si>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</si>
  <si>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</si>
  <si>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</si>
  <si>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</si>
  <si>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</si>
  <si>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</si>
  <si>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</si>
  <si>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</si>
  <si>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</si>
  <si>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</si>
  <si>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</si>
  <si>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</si>
  <si>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</si>
  <si>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</si>
  <si>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</si>
  <si>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</si>
  <si>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</si>
  <si>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</si>
  <si>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</si>
  <si>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</si>
  <si>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</si>
  <si>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</si>
  <si>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</si>
  <si>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</si>
  <si>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</si>
  <si>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</si>
  <si>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</si>
  <si>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</si>
  <si>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</si>
  <si>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</si>
  <si>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</si>
  <si>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</si>
  <si>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</si>
  <si>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</si>
  <si>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</si>
  <si>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</si>
  <si>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</si>
  <si>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</si>
  <si>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</si>
  <si>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</si>
  <si>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</si>
  <si>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</si>
  <si>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</si>
  <si>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</si>
  <si>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</si>
  <si>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</si>
  <si>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</si>
  <si>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</si>
  <si>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</si>
  <si>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</si>
  <si>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</si>
  <si>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</si>
  <si>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</si>
  <si>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</si>
  <si>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</si>
  <si>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</si>
  <si>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</si>
  <si>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</si>
  <si>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</si>
  <si>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</si>
  <si>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</si>
  <si>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</si>
  <si>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</si>
  <si>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</si>
  <si>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</si>
  <si>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</si>
  <si>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</si>
  <si>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</si>
  <si>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</si>
  <si>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</si>
  <si>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</si>
  <si>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</si>
  <si>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</si>
  <si>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</si>
  <si>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</si>
  <si>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</si>
  <si>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</si>
  <si>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</si>
  <si>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</si>
  <si>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</si>
  <si>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</si>
  <si>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</si>
  <si>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</si>
  <si>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</si>
  <si>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</si>
  <si>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</si>
  <si>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</si>
  <si>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</si>
  <si>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</si>
  <si>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</si>
  <si>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</si>
  <si>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</si>
  <si>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</si>
  <si>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</si>
  <si>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</si>
  <si>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</si>
  <si>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</si>
  <si>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</si>
  <si>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</si>
  <si>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</si>
  <si>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</si>
  <si>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</si>
  <si>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</si>
  <si>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</si>
  <si>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</si>
  <si>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</si>
  <si>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</si>
  <si>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</si>
  <si>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</si>
  <si>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</si>
  <si>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</si>
  <si>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</si>
  <si>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</si>
  <si>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</si>
  <si>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</si>
  <si>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</si>
  <si>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</si>
  <si>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</si>
  <si>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</si>
  <si>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</si>
  <si>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</si>
  <si>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</si>
  <si>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</si>
  <si>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</si>
  <si>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</si>
  <si>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</si>
  <si>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</si>
  <si>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</si>
  <si>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</si>
  <si>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</si>
  <si>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</si>
  <si>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</si>
  <si>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</si>
  <si>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</si>
  <si>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</si>
  <si>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</si>
  <si>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</si>
  <si>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</si>
  <si>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</si>
  <si>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</si>
  <si>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</si>
  <si>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</si>
  <si>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</si>
  <si>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</si>
  <si>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</si>
  <si>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</si>
  <si>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</si>
  <si>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</si>
  <si>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</si>
  <si>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</si>
  <si>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</si>
  <si>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</si>
  <si>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</si>
  <si>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</si>
  <si>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</si>
  <si>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</si>
  <si>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</si>
  <si>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</si>
  <si>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</si>
  <si>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</si>
  <si>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</si>
  <si>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</si>
  <si>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</si>
  <si>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</si>
  <si>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</si>
  <si>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</si>
  <si>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</si>
  <si>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</si>
  <si>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</si>
  <si>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</si>
  <si>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</si>
  <si>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</si>
  <si>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</si>
  <si>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</si>
  <si>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</si>
  <si>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</si>
  <si>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</si>
  <si>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</si>
  <si>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</si>
  <si>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</si>
  <si>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</si>
  <si>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</si>
  <si>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</si>
  <si>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</si>
  <si>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</si>
  <si>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</si>
  <si>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</si>
  <si>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</si>
  <si>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</si>
  <si>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</si>
  <si>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</si>
  <si>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</si>
  <si>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</si>
  <si>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</si>
  <si>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</si>
  <si>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</si>
  <si>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</si>
  <si>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</si>
  <si>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</si>
  <si>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</si>
  <si>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</si>
  <si>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</si>
  <si>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</si>
  <si>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</si>
  <si>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</si>
  <si>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</si>
  <si>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</si>
  <si>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</si>
  <si>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</si>
  <si>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</si>
  <si>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</si>
  <si>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</si>
  <si>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</si>
  <si>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</si>
  <si>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</si>
  <si>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</si>
  <si>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</si>
  <si>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</si>
  <si>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</si>
  <si>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</si>
  <si>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</si>
  <si>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</si>
  <si>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</si>
  <si>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</si>
  <si>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</si>
  <si>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</si>
  <si>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</si>
  <si>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</si>
  <si>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</si>
  <si>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</si>
  <si>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</si>
  <si>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</si>
  <si>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</si>
  <si>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</si>
  <si>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</si>
  <si>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</si>
  <si>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</si>
  <si>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</si>
  <si>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</si>
  <si>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</si>
  <si>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</si>
  <si>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</si>
  <si>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</si>
  <si>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</si>
  <si>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</si>
  <si>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</si>
  <si>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</si>
  <si>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</si>
  <si>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</si>
  <si>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</si>
  <si>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</si>
  <si>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</si>
  <si>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</si>
  <si>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</si>
  <si>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</si>
  <si>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</si>
  <si>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</si>
  <si>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</si>
  <si>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</si>
  <si>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</si>
  <si>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</si>
  <si>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</si>
  <si>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</si>
  <si>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</si>
  <si>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</si>
  <si>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</si>
  <si>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</si>
  <si>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</si>
  <si>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</si>
  <si>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</si>
  <si>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</si>
  <si>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</si>
  <si>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</si>
  <si>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</si>
  <si>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</si>
  <si>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</si>
  <si>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</si>
  <si>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</si>
  <si>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</si>
  <si>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</si>
  <si>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</si>
  <si>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</si>
  <si>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</si>
  <si>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</si>
  <si>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</si>
  <si>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</si>
  <si>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</si>
  <si>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</si>
  <si>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</si>
  <si>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</si>
  <si>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</si>
  <si>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</si>
  <si>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</si>
  <si>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</si>
  <si>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</si>
  <si>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</si>
  <si>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</si>
  <si>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</si>
  <si>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</si>
  <si>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</si>
  <si>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</si>
  <si>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</si>
  <si>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</si>
  <si>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</si>
  <si>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</si>
  <si>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</si>
  <si>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</si>
  <si>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</si>
  <si>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</si>
  <si>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</si>
  <si>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</si>
  <si>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</si>
  <si>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</si>
  <si>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</si>
  <si>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</si>
  <si>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</si>
  <si>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</si>
  <si>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</si>
  <si>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</si>
  <si>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</si>
  <si>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</si>
  <si>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</si>
  <si>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</si>
  <si>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</si>
  <si>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</si>
  <si>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</si>
  <si>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</si>
  <si>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</si>
  <si>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</si>
  <si>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</si>
  <si>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</si>
  <si>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</si>
  <si>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</si>
  <si>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</si>
  <si>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</si>
  <si>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</si>
  <si>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</si>
  <si>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</si>
  <si>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</si>
  <si>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</si>
  <si>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</si>
  <si>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</si>
  <si>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</si>
  <si>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</si>
  <si>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</si>
  <si>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</si>
  <si>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</si>
  <si>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</si>
  <si>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</si>
  <si>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</si>
  <si>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</si>
  <si>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</si>
  <si>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</si>
  <si>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</si>
  <si>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</si>
  <si>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</si>
  <si>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</si>
  <si>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</si>
  <si>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</si>
  <si>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</si>
  <si>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</si>
  <si>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</si>
  <si>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</si>
  <si>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</si>
  <si>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</si>
  <si>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</si>
  <si>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</si>
  <si>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</si>
  <si>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</si>
  <si>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</si>
  <si>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</si>
  <si>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</si>
  <si>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</si>
  <si>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</si>
  <si>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</si>
  <si>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</si>
  <si>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</si>
  <si>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</si>
  <si>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</si>
  <si>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</si>
  <si>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</si>
  <si>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</si>
  <si>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</si>
  <si>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</si>
  <si>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</si>
  <si>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</si>
  <si>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</si>
  <si>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</si>
  <si>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</si>
  <si>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</si>
  <si>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</si>
  <si>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</si>
  <si>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</si>
  <si>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</si>
  <si>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</si>
  <si>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</si>
  <si>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</si>
  <si>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</si>
  <si>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</si>
  <si>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</si>
  <si>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</si>
  <si>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</si>
  <si>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</si>
  <si>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</si>
  <si>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</si>
  <si>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</si>
  <si>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</si>
  <si>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</si>
  <si>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</si>
  <si>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</si>
  <si>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</si>
  <si>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</si>
  <si>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</si>
  <si>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</si>
  <si>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</si>
  <si>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</si>
  <si>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</si>
  <si>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</si>
  <si>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</si>
  <si>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</si>
  <si>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</si>
  <si>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</si>
  <si>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</si>
  <si>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</si>
  <si>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</si>
  <si>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</si>
  <si>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</si>
  <si>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</si>
  <si>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</si>
  <si>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</si>
  <si>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</si>
  <si>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</si>
  <si>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</si>
  <si>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</si>
  <si>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</si>
  <si>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</si>
  <si>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</si>
  <si>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</si>
  <si>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</si>
  <si>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</si>
  <si>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</si>
  <si>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</si>
  <si>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</si>
  <si>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</si>
  <si>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</si>
  <si>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</si>
  <si>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</si>
  <si>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</si>
  <si>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</si>
  <si>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</si>
  <si>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</si>
  <si>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</si>
  <si>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</si>
  <si>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</si>
  <si>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</si>
  <si>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</si>
  <si>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</si>
  <si>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</si>
  <si>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</si>
  <si>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</si>
  <si>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</si>
  <si>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</si>
  <si>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</si>
  <si>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</si>
  <si>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</si>
  <si>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</si>
  <si>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</si>
  <si>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</si>
  <si>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</si>
  <si>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</si>
  <si>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</si>
  <si>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</si>
  <si>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</si>
  <si>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</si>
  <si>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</si>
  <si>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</si>
  <si>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</si>
  <si>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</si>
  <si>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</si>
  <si>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</si>
  <si>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</si>
  <si>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</si>
  <si>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</si>
  <si>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</si>
  <si>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</si>
  <si>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</si>
  <si>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</si>
  <si>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</si>
  <si>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</si>
  <si>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</si>
  <si>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</si>
  <si>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</si>
  <si>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</si>
  <si>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</si>
  <si>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</si>
  <si>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</si>
  <si>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</si>
  <si>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</si>
  <si>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</si>
  <si>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</si>
  <si>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</si>
  <si>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</si>
  <si>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</si>
  <si>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</si>
  <si>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</si>
  <si>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</si>
  <si>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</si>
  <si>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</si>
  <si>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</si>
  <si>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</si>
  <si>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</si>
  <si>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</si>
  <si>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</si>
  <si>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</si>
  <si>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</si>
  <si>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</si>
  <si>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</si>
  <si>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</si>
  <si>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</si>
  <si>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</si>
  <si>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</si>
  <si>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</si>
  <si>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</si>
  <si>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</si>
  <si>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</si>
  <si>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</si>
  <si>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</si>
  <si>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</si>
  <si>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</si>
  <si>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</si>
  <si>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</si>
  <si>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</si>
  <si>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</si>
  <si>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</si>
  <si>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</si>
  <si>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</si>
  <si>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</si>
  <si>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</si>
  <si>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</si>
  <si>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</si>
  <si>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</si>
  <si>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</si>
  <si>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</si>
  <si>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</si>
  <si>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</si>
  <si>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</si>
  <si>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</si>
  <si>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</si>
  <si>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</si>
  <si>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</si>
  <si>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</si>
  <si>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</si>
  <si>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</si>
  <si>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</si>
  <si>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</si>
  <si>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</si>
  <si>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</si>
  <si>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</si>
  <si>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</si>
  <si>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</si>
  <si>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</si>
  <si>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</si>
  <si>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</si>
  <si>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</si>
  <si>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</si>
  <si>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</si>
  <si>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</si>
  <si>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</si>
  <si>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</si>
  <si>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</si>
  <si>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</si>
  <si>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</si>
  <si>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</si>
  <si>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</si>
  <si>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</si>
  <si>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</si>
  <si>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</si>
  <si>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</si>
  <si>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</si>
  <si>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</si>
  <si>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</si>
  <si>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</si>
  <si>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</si>
  <si>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</si>
  <si>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</si>
  <si>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</si>
  <si>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</si>
  <si>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</si>
  <si>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</si>
  <si>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</si>
  <si>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</si>
  <si>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</si>
  <si>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</si>
  <si>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</si>
  <si>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</si>
  <si>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</si>
  <si>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</si>
  <si>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</si>
  <si>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</si>
  <si>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</si>
  <si>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</si>
  <si>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</si>
  <si>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</si>
  <si>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</si>
  <si>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</si>
  <si>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</si>
  <si>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</si>
  <si>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</si>
  <si>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</si>
  <si>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</si>
  <si>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</si>
  <si>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</si>
  <si>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</si>
  <si>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</si>
  <si>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</si>
  <si>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</si>
  <si>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</si>
  <si>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</si>
  <si>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</si>
  <si>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</si>
  <si>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</si>
  <si>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</si>
  <si>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</si>
  <si>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</si>
  <si>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</si>
  <si>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</si>
  <si>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</si>
  <si>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</si>
  <si>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</si>
  <si>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</si>
  <si>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</si>
  <si>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</si>
  <si>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</si>
  <si>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</si>
  <si>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</si>
  <si>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</si>
  <si>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</si>
  <si>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</si>
  <si>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</si>
  <si>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</si>
  <si>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</si>
  <si>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</si>
  <si>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</si>
  <si>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</si>
  <si>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</si>
  <si>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</si>
  <si>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</si>
  <si>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</si>
  <si>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</si>
  <si>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</si>
  <si>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</si>
  <si>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</si>
  <si>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</si>
  <si>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</si>
  <si>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</si>
  <si>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</si>
  <si>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</si>
  <si>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</si>
  <si>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</si>
  <si>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</si>
  <si>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</si>
  <si>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</si>
  <si>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</si>
  <si>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</si>
  <si>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</si>
  <si>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</si>
  <si>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</si>
  <si>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</si>
  <si>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</si>
  <si>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</si>
  <si>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</si>
  <si>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</si>
  <si>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</si>
  <si>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</si>
  <si>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</si>
  <si>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</si>
  <si>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</si>
  <si>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</si>
  <si>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</si>
  <si>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</si>
  <si>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</si>
  <si>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</si>
  <si>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</si>
  <si>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</si>
  <si>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</si>
  <si>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</si>
  <si>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</si>
  <si>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</si>
  <si>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</si>
  <si>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</si>
  <si>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</si>
  <si>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</si>
  <si>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</si>
  <si>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</si>
  <si>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</si>
  <si>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</si>
  <si>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</si>
  <si>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</si>
  <si>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</si>
  <si>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</si>
  <si>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</si>
  <si>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</si>
  <si>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</si>
  <si>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</si>
  <si>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</si>
  <si>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</si>
  <si>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</si>
  <si>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</si>
  <si>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</si>
  <si>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</si>
  <si>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</si>
  <si>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</si>
  <si>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</si>
  <si>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</si>
  <si>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</si>
  <si>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</si>
  <si>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</si>
  <si>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</si>
  <si>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</si>
  <si>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</si>
  <si>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</si>
  <si>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</si>
  <si>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</si>
  <si>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</si>
  <si>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</si>
  <si>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</si>
  <si>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</si>
  <si>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</si>
  <si>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</si>
  <si>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</si>
  <si>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</si>
  <si>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</si>
  <si>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</si>
  <si>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</si>
  <si>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</si>
  <si>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</si>
  <si>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</si>
  <si>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</si>
  <si>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</si>
  <si>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</si>
  <si>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</si>
  <si>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</si>
  <si>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</si>
  <si>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</si>
  <si>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</si>
  <si>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</si>
  <si>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</si>
  <si>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</si>
  <si>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</si>
  <si>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</si>
  <si>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</si>
  <si>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</si>
  <si>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</si>
  <si>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</si>
  <si>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</si>
  <si>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</si>
  <si>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</si>
  <si>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</si>
  <si>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</si>
  <si>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</si>
  <si>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</si>
  <si>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</si>
  <si>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</si>
  <si>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</si>
  <si>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</si>
  <si>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</si>
  <si>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</si>
  <si>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</si>
  <si>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</si>
  <si>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</si>
  <si>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</si>
  <si>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</si>
  <si>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</si>
  <si>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</si>
  <si>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</si>
  <si>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</si>
  <si>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</si>
  <si>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</si>
  <si>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</si>
  <si>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</si>
  <si>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</si>
  <si>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</si>
  <si>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</si>
  <si>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</si>
  <si>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</si>
  <si>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</si>
  <si>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</si>
  <si>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</si>
  <si>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</si>
  <si>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</si>
  <si>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</si>
  <si>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</si>
  <si>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</si>
  <si>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</si>
  <si>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</si>
  <si>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</si>
  <si>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</si>
  <si>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</si>
  <si>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</si>
  <si>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</si>
  <si>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</si>
  <si>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</si>
  <si>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</si>
  <si>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</si>
  <si>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</si>
  <si>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</si>
  <si>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</si>
  <si>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</si>
  <si>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</si>
  <si>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</si>
  <si>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</si>
  <si>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</si>
  <si>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</si>
  <si>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</si>
  <si>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</si>
  <si>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</si>
  <si>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</si>
  <si>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</si>
  <si>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</si>
  <si>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</si>
  <si>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</si>
  <si>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</si>
  <si>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</si>
  <si>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</si>
  <si>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</si>
  <si>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</si>
  <si>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</si>
  <si>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</si>
  <si>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</si>
  <si>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</si>
  <si>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</si>
  <si>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</si>
  <si>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</si>
  <si>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</si>
  <si>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</si>
  <si>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</si>
  <si>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</si>
  <si>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</si>
  <si>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</si>
  <si>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</si>
  <si>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</si>
  <si>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</si>
  <si>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</si>
  <si>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</si>
  <si>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</si>
  <si>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</si>
  <si>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</si>
  <si>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</si>
  <si>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</si>
  <si>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</si>
  <si>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</si>
  <si>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</si>
  <si>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</si>
  <si>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</si>
  <si>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</si>
  <si>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</si>
  <si>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</si>
  <si>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</si>
  <si>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</si>
  <si>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</si>
  <si>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</si>
  <si>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</si>
  <si>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</si>
  <si>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</si>
  <si>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</si>
  <si>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</si>
  <si>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</si>
  <si>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</si>
  <si>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</si>
  <si>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</si>
  <si>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</si>
  <si>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</si>
  <si>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</si>
  <si>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</si>
  <si>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</si>
  <si>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</si>
  <si>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</si>
  <si>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</si>
  <si>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</si>
  <si>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</si>
  <si>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</si>
  <si>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</si>
  <si>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</si>
  <si>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</si>
  <si>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</si>
  <si>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</si>
  <si>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</si>
  <si>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</si>
  <si>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</si>
  <si>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</si>
  <si>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</si>
  <si>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</si>
  <si>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</si>
  <si>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</si>
  <si>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</si>
  <si>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</si>
  <si>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</si>
  <si>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</si>
  <si>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</si>
  <si>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</si>
  <si>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</si>
  <si>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</si>
  <si>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</si>
  <si>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</si>
  <si>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</si>
  <si>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</si>
  <si>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</si>
  <si>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</si>
  <si>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</si>
  <si>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</si>
  <si>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</si>
  <si>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</si>
  <si>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</si>
  <si>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</si>
  <si>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</si>
  <si>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</si>
  <si>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</si>
  <si>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</si>
  <si>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</si>
  <si>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</si>
  <si>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</si>
  <si>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</si>
  <si>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</si>
  <si>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</si>
  <si>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</si>
  <si>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</si>
  <si>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</si>
  <si>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</si>
  <si>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</si>
  <si>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</si>
  <si>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</si>
  <si>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</si>
  <si>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</si>
  <si>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</si>
  <si>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</si>
  <si>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</si>
  <si>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</si>
  <si>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</si>
  <si>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</si>
  <si>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</si>
  <si>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</si>
  <si>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</si>
  <si>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</si>
  <si>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</si>
  <si>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</si>
  <si>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</si>
  <si>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</si>
  <si>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</si>
  <si>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</si>
  <si>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</si>
  <si>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</si>
  <si>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</si>
  <si>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</si>
  <si>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</si>
  <si>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</si>
  <si>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</si>
  <si>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</si>
  <si>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</si>
  <si>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</si>
  <si>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</si>
  <si>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</si>
  <si>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</si>
  <si>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</si>
  <si>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</si>
  <si>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</si>
  <si>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</si>
  <si>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</si>
  <si>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</si>
  <si>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</si>
  <si>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</si>
  <si>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</si>
  <si>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</si>
  <si>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</si>
  <si>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</si>
  <si>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</si>
  <si>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</si>
  <si>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</si>
  <si>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</si>
  <si>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</si>
  <si>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</si>
  <si>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</si>
  <si>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</si>
  <si>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</si>
  <si>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</si>
  <si>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</si>
  <si>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</si>
  <si>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</si>
  <si>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</si>
  <si>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</si>
  <si>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</si>
  <si>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</si>
  <si>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</si>
  <si>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</si>
  <si>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</si>
  <si>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</si>
  <si>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</si>
  <si>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</si>
  <si>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</si>
  <si>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</si>
  <si>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</si>
  <si>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</si>
  <si>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</si>
  <si>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</si>
  <si>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</si>
  <si>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</si>
  <si>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</si>
  <si>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</si>
  <si>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</si>
  <si>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</si>
  <si>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</si>
  <si>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</si>
  <si>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</si>
  <si>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</si>
  <si>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</si>
  <si>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</si>
  <si>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</si>
  <si>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</si>
  <si>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</si>
  <si>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</si>
  <si>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</si>
  <si>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</si>
  <si>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</si>
  <si>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</si>
  <si>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</si>
  <si>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</si>
  <si>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</si>
  <si>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</si>
  <si>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</si>
  <si>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</si>
  <si>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</si>
  <si>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</si>
  <si>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</si>
  <si>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</si>
  <si>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</si>
  <si>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</si>
  <si>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</si>
  <si>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</si>
  <si>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</si>
  <si>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</si>
  <si>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</si>
  <si>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</si>
  <si>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</si>
  <si>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</si>
  <si>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</si>
  <si>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</si>
  <si>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</si>
  <si>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</si>
  <si>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</si>
  <si>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</si>
  <si>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</si>
  <si>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</si>
  <si>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</si>
  <si>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</si>
  <si>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</si>
  <si>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</si>
  <si>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</si>
  <si>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</si>
  <si>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</si>
  <si>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</si>
  <si>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</si>
  <si>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</si>
  <si>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</si>
  <si>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</si>
  <si>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</si>
  <si>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</si>
  <si>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</si>
  <si>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</si>
  <si>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</si>
  <si>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</si>
  <si>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</si>
  <si>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</si>
  <si>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</si>
  <si>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</si>
  <si>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</si>
  <si>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</si>
  <si>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</si>
  <si>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</si>
  <si>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</si>
  <si>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</si>
  <si>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</si>
  <si>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</si>
  <si>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</si>
  <si>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</si>
  <si>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</si>
  <si>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</si>
  <si>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</si>
  <si>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</si>
  <si>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</si>
  <si>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</si>
  <si>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</si>
  <si>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</si>
  <si>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</si>
  <si>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</si>
  <si>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</si>
  <si>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</si>
  <si>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</si>
  <si>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</si>
  <si>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</si>
  <si>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</si>
  <si>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</si>
  <si>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</si>
  <si>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</si>
  <si>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</si>
  <si>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</si>
  <si>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</si>
  <si>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</si>
  <si>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</si>
  <si>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</si>
  <si>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</si>
  <si>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</si>
  <si>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</si>
  <si>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</si>
  <si>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</si>
  <si>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</si>
  <si>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</si>
  <si>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</si>
  <si>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</si>
  <si>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</si>
  <si>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</si>
  <si>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</si>
  <si>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</si>
  <si>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</si>
  <si>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</si>
  <si>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</si>
  <si>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</si>
  <si>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</si>
  <si>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</si>
  <si>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</si>
  <si>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</si>
  <si>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</si>
  <si>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</si>
  <si>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</si>
  <si>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</si>
  <si>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</si>
  <si>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</si>
  <si>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</si>
  <si>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</si>
  <si>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</si>
  <si>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</si>
  <si>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</si>
  <si>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</si>
  <si>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</si>
  <si>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</si>
  <si>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</si>
  <si>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</si>
  <si>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</si>
  <si>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</si>
  <si>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</si>
  <si>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</si>
  <si>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</si>
  <si>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</si>
  <si>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</si>
  <si>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</si>
  <si>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</si>
  <si>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</si>
  <si>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</si>
  <si>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</si>
  <si>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</si>
  <si>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</si>
  <si>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</si>
  <si>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</si>
  <si>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</si>
  <si>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</si>
  <si>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</si>
  <si>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</si>
  <si>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</si>
  <si>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</si>
  <si>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</si>
  <si>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</si>
  <si>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</si>
  <si>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</si>
  <si>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</si>
  <si>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</si>
  <si>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</si>
  <si>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</si>
  <si>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</si>
  <si>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</si>
  <si>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</si>
  <si>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</si>
  <si>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</si>
  <si>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</si>
  <si>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</si>
  <si>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</si>
  <si>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</si>
  <si>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</si>
  <si>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</si>
  <si>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</si>
  <si>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</si>
  <si>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</si>
  <si>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</si>
  <si>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</si>
  <si>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</si>
  <si>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</si>
  <si>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</si>
  <si>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</si>
  <si>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</si>
  <si>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</si>
  <si>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</si>
  <si>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</si>
  <si>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</si>
  <si>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</si>
  <si>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</si>
  <si>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</si>
  <si>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</si>
  <si>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</si>
  <si>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</si>
  <si>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</si>
  <si>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</si>
  <si>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</si>
  <si>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</si>
  <si>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</si>
  <si>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</si>
  <si>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</si>
  <si>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</si>
  <si>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</si>
  <si>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</si>
  <si>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</si>
  <si>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</si>
  <si>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</si>
  <si>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</si>
  <si>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</si>
  <si>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</si>
  <si>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</si>
  <si>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</si>
  <si>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</si>
  <si>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</si>
  <si>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</si>
  <si>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</si>
  <si>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</si>
  <si>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</si>
  <si>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</si>
  <si>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</si>
  <si>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</si>
  <si>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</si>
  <si>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</si>
  <si>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</si>
  <si>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</si>
  <si>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</si>
  <si>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</si>
  <si>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</si>
  <si>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</si>
  <si>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</si>
  <si>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</si>
  <si>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</si>
  <si>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</si>
  <si>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</si>
  <si>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</si>
  <si>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</si>
  <si>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</si>
  <si>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</si>
  <si>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</si>
  <si>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</si>
  <si>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</si>
  <si>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</si>
  <si>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</si>
  <si>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</si>
  <si>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</si>
  <si>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</si>
  <si>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</si>
  <si>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</si>
  <si>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</si>
  <si>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</si>
  <si>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</si>
  <si>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</si>
  <si>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</si>
  <si>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</si>
  <si>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</si>
  <si>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</si>
  <si>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</si>
  <si>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</si>
  <si>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</si>
  <si>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</si>
  <si>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</si>
  <si>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</si>
  <si>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</si>
  <si>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</si>
  <si>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</si>
  <si>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</si>
  <si>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</si>
  <si>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</si>
  <si>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</si>
  <si>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</si>
  <si>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</si>
  <si>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</si>
  <si>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</si>
  <si>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</si>
  <si>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</si>
  <si>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</si>
  <si>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</si>
  <si>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</si>
  <si>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</si>
  <si>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</si>
  <si>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</si>
  <si>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</si>
  <si>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</si>
  <si>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</si>
  <si>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</si>
  <si>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</si>
  <si>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</si>
  <si>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</si>
  <si>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</si>
  <si>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</si>
  <si>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</si>
  <si>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</si>
  <si>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</si>
  <si>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</si>
  <si>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</si>
  <si>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</si>
  <si>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</si>
  <si>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</si>
  <si>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</si>
  <si>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</si>
  <si>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</si>
  <si>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</si>
  <si>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</si>
  <si>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</si>
  <si>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</si>
  <si>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</si>
  <si>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</si>
  <si>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</si>
  <si>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</si>
  <si>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</si>
  <si>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</si>
  <si>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</si>
  <si>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</si>
  <si>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</si>
  <si>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</si>
  <si>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</si>
  <si>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</si>
  <si>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</si>
  <si>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</si>
  <si>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</si>
  <si>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</si>
  <si>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</si>
  <si>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</si>
  <si>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</si>
  <si>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</si>
  <si>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</si>
  <si>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</si>
  <si>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</si>
  <si>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</si>
  <si>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</si>
  <si>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</si>
  <si>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</si>
  <si>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</si>
  <si>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</si>
  <si>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</si>
  <si>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</si>
  <si>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</si>
  <si>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</si>
  <si>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</si>
  <si>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</si>
  <si>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</si>
  <si>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</si>
  <si>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</si>
  <si>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</si>
  <si>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</si>
  <si>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</si>
  <si>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</si>
  <si>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</si>
  <si>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</si>
  <si>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</si>
  <si>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</si>
  <si>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</si>
  <si>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</si>
  <si>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</si>
  <si>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</si>
  <si>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</si>
  <si>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</si>
  <si>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</si>
  <si>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</si>
  <si>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</si>
  <si>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</si>
  <si>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</si>
  <si>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</si>
  <si>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</si>
  <si>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</si>
  <si>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</si>
  <si>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</si>
  <si>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</si>
  <si>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</si>
  <si>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</si>
  <si>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</si>
  <si>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</si>
  <si>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</si>
  <si>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</si>
  <si>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</si>
  <si>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</si>
  <si>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</si>
  <si>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</si>
  <si>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</si>
  <si>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</si>
  <si>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</si>
  <si>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</si>
  <si>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</si>
  <si>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</si>
  <si>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</si>
  <si>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</si>
  <si>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</si>
  <si>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</si>
  <si>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</si>
  <si>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</si>
  <si>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</si>
  <si>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</si>
  <si>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</si>
  <si>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</si>
  <si>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</si>
  <si>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</si>
  <si>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</si>
  <si>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</si>
  <si>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</si>
  <si>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</si>
  <si>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</si>
  <si>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</si>
  <si>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</si>
  <si>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</si>
  <si>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</si>
  <si>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</si>
  <si>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</si>
  <si>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</si>
  <si>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</si>
  <si>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</si>
  <si>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</si>
  <si>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</si>
  <si>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</si>
  <si>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</si>
  <si>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</si>
  <si>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</si>
  <si>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</si>
  <si>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</si>
  <si>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</si>
  <si>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</si>
  <si>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</si>
  <si>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</si>
  <si>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</si>
  <si>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</si>
  <si>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</si>
  <si>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</si>
  <si>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</si>
  <si>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</si>
  <si>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</si>
  <si>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</si>
  <si>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</si>
  <si>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</si>
  <si>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</si>
  <si>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</si>
  <si>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</si>
  <si>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</si>
  <si>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</si>
  <si>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</si>
  <si>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</si>
  <si>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</si>
  <si>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</si>
  <si>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</si>
  <si>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</si>
  <si>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</si>
  <si>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</si>
  <si>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</si>
  <si>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</si>
  <si>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</si>
  <si>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</si>
  <si>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</si>
  <si>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</si>
  <si>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</si>
  <si>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</si>
  <si>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</si>
  <si>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</si>
  <si>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</si>
  <si>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</si>
  <si>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</si>
  <si>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</si>
  <si>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</si>
  <si>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</si>
  <si>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</si>
  <si>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</si>
  <si>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</si>
  <si>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</si>
  <si>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</si>
  <si>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</si>
  <si>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</si>
  <si>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</si>
  <si>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</si>
  <si>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</si>
  <si>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</si>
  <si>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</si>
  <si>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</si>
  <si>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</si>
  <si>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</si>
  <si>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</si>
  <si>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</si>
  <si>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</si>
  <si>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</si>
  <si>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</si>
  <si>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</si>
  <si>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</si>
  <si>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</si>
  <si>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</si>
  <si>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</si>
  <si>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</si>
  <si>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</si>
  <si>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</si>
  <si>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</si>
  <si>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</si>
  <si>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</si>
  <si>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</si>
  <si>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</si>
  <si>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</si>
  <si>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</si>
  <si>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</si>
  <si>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</si>
  <si>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</si>
  <si>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</si>
  <si>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</si>
  <si>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</si>
  <si>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</si>
  <si>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</si>
  <si>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</si>
  <si>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</si>
  <si>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</si>
  <si>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</si>
  <si>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</si>
  <si>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</si>
  <si>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</si>
  <si>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</si>
  <si>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</si>
  <si>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</si>
  <si>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</si>
  <si>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</si>
  <si>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</si>
  <si>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</si>
  <si>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</si>
  <si>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</si>
  <si>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</si>
  <si>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</si>
  <si>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</si>
  <si>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</si>
  <si>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</si>
  <si>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</si>
  <si>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</si>
  <si>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</si>
  <si>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</si>
  <si>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</si>
  <si>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</si>
  <si>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</si>
  <si>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</si>
  <si>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</si>
  <si>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</si>
  <si>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</si>
  <si>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</si>
  <si>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</si>
  <si>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</si>
  <si>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</si>
  <si>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</si>
  <si>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</si>
  <si>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</si>
  <si>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</si>
  <si>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</si>
  <si>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</si>
  <si>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</si>
  <si>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</si>
  <si>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</si>
  <si>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</si>
  <si>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</si>
  <si>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</si>
  <si>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</si>
  <si>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</si>
  <si>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</si>
  <si>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</si>
  <si>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</si>
  <si>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</si>
  <si>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</si>
  <si>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</si>
  <si>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</si>
  <si>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</si>
  <si>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</si>
  <si>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</si>
  <si>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</si>
  <si>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</si>
  <si>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</si>
  <si>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</si>
  <si>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</si>
  <si>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</si>
  <si>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</si>
  <si>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</si>
  <si>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</si>
  <si>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</si>
  <si>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</si>
  <si>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</si>
  <si>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</si>
  <si>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</si>
  <si>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</si>
  <si>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</si>
  <si>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</si>
  <si>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</si>
  <si>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</si>
  <si>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</si>
  <si>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</si>
  <si>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</si>
  <si>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</si>
  <si>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</si>
  <si>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</si>
  <si>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</si>
  <si>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</si>
  <si>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</si>
  <si>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</si>
  <si>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</si>
  <si>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</si>
  <si>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</si>
  <si>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</si>
  <si>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</si>
  <si>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</si>
  <si>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</si>
  <si>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</si>
  <si>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</si>
  <si>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</si>
  <si>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</si>
  <si>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</si>
  <si>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</si>
  <si>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</si>
  <si>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</si>
  <si>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</si>
  <si>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</si>
  <si>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</si>
  <si>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</si>
  <si>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</si>
  <si>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</si>
  <si>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</si>
  <si>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</si>
  <si>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</si>
  <si>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</si>
  <si>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</si>
  <si>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</si>
  <si>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</si>
  <si>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</si>
  <si>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</si>
  <si>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</si>
  <si>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</si>
  <si>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</si>
  <si>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</si>
  <si>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</si>
  <si>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</si>
  <si>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</si>
  <si>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</si>
  <si>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</si>
  <si>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</si>
  <si>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</si>
  <si>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</si>
  <si>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</si>
  <si>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</si>
  <si>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</si>
  <si>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</si>
  <si>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</si>
  <si>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</si>
  <si>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</si>
  <si>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</si>
  <si>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</si>
  <si>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</si>
  <si>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</si>
  <si>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</si>
  <si>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</si>
  <si>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</si>
  <si>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</si>
  <si>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</si>
  <si>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</si>
  <si>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</si>
  <si>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</si>
  <si>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</si>
  <si>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</si>
  <si>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</si>
  <si>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</si>
  <si>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</si>
  <si>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</si>
  <si>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</si>
  <si>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</si>
  <si>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</si>
  <si>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</si>
  <si>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</si>
  <si>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</si>
  <si>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</si>
  <si>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</si>
  <si>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</si>
  <si>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</si>
  <si>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</si>
  <si>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</si>
  <si>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</si>
  <si>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</si>
  <si>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</si>
  <si>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</si>
  <si>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</si>
  <si>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</si>
  <si>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</si>
  <si>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</si>
  <si>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</si>
  <si>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</si>
  <si>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</si>
  <si>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</si>
  <si>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</si>
  <si>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</si>
  <si>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</si>
  <si>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</si>
  <si>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</si>
  <si>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</si>
  <si>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</si>
  <si>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</si>
  <si>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</si>
  <si>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</si>
  <si>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</si>
  <si>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</si>
  <si>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</si>
  <si>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</si>
  <si>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</si>
  <si>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</si>
  <si>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</si>
  <si>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</si>
  <si>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</si>
  <si>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</si>
  <si>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</si>
  <si>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</si>
  <si>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</si>
  <si>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</si>
  <si>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</si>
  <si>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</si>
  <si>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</si>
  <si>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</si>
  <si>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</si>
  <si>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</si>
  <si>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</si>
  <si>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</si>
  <si>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</si>
  <si>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</si>
  <si>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</si>
  <si>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</si>
  <si>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</si>
  <si>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</si>
  <si>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</si>
  <si>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</si>
  <si>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</si>
  <si>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</si>
  <si>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</si>
  <si>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</si>
  <si>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</si>
  <si>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</si>
  <si>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</si>
  <si>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</si>
  <si>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</si>
  <si>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</si>
  <si>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</si>
  <si>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</si>
  <si>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</si>
  <si>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</si>
  <si>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</si>
  <si>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</si>
  <si>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</si>
  <si>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</si>
  <si>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</si>
  <si>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</si>
  <si>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</si>
  <si>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</si>
  <si>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</si>
  <si>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</si>
  <si>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</si>
  <si>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</si>
  <si>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</si>
  <si>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</si>
  <si>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</si>
  <si>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</si>
  <si>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</si>
  <si>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</si>
  <si>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</si>
  <si>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</si>
  <si>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</si>
  <si>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</si>
  <si>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</si>
  <si>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</si>
  <si>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</si>
  <si>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</si>
  <si>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</si>
  <si>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</si>
  <si>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</si>
  <si>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</si>
  <si>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</si>
  <si>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</si>
  <si>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</si>
  <si>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</si>
  <si>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</si>
  <si>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</si>
  <si>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</si>
  <si>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</si>
  <si>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</si>
  <si>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</si>
  <si>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</si>
  <si>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</si>
  <si>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</si>
  <si>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</si>
  <si>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</si>
  <si>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</si>
  <si>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</si>
  <si>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</si>
  <si>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</si>
  <si>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</si>
  <si>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</si>
  <si>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</si>
  <si>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</si>
  <si>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</si>
  <si>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</si>
  <si>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</si>
  <si>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</si>
  <si>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</si>
  <si>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</si>
  <si>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</si>
  <si>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</si>
  <si>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</si>
  <si>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</si>
  <si>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</si>
  <si>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</si>
  <si>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</si>
  <si>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</si>
  <si>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</si>
  <si>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</si>
  <si>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</si>
  <si>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</si>
  <si>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</si>
  <si>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</si>
  <si>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</si>
  <si>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</si>
  <si>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</si>
  <si>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</si>
  <si>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</si>
  <si>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</si>
  <si>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</si>
  <si>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</si>
  <si>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</si>
  <si>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</si>
  <si>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</si>
  <si>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</si>
  <si>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</si>
  <si>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</si>
  <si>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</si>
  <si>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</si>
  <si>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</si>
  <si>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</si>
  <si>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</si>
  <si>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</si>
  <si>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</si>
  <si>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</si>
  <si>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</si>
  <si>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</si>
  <si>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</si>
  <si>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</si>
  <si>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</si>
  <si>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</si>
  <si>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</si>
  <si>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</si>
  <si>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</si>
  <si>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</si>
  <si>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</si>
  <si>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</si>
  <si>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</si>
  <si>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</si>
  <si>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</si>
  <si>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</si>
  <si>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</si>
  <si>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</si>
  <si>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</si>
  <si>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</si>
  <si>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</si>
  <si>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</si>
  <si>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</si>
  <si>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</si>
  <si>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</si>
  <si>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</si>
  <si>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</si>
  <si>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</si>
  <si>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</si>
  <si>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</si>
  <si>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</si>
  <si>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</si>
  <si>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</si>
  <si>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</si>
  <si>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</si>
  <si>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</si>
  <si>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</si>
  <si>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</si>
  <si>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</si>
  <si>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</si>
  <si>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</si>
  <si>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</si>
  <si>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</si>
  <si>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</si>
  <si>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</si>
  <si>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</si>
  <si>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</si>
  <si>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</si>
  <si>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</si>
  <si>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</si>
  <si>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</si>
  <si>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</si>
  <si>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</si>
  <si>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</si>
  <si>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</si>
  <si>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</si>
  <si>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</si>
  <si>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</si>
  <si>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</si>
  <si>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</si>
  <si>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</si>
  <si>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</si>
  <si>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</si>
  <si>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</si>
  <si>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</si>
  <si>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</si>
  <si>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</si>
  <si>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</si>
  <si>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</si>
  <si>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</si>
  <si>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</si>
  <si>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</si>
  <si>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</si>
  <si>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</si>
  <si>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</si>
  <si>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</si>
  <si>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</si>
  <si>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</si>
  <si>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</si>
  <si>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</si>
  <si>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</si>
  <si>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</si>
  <si>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</si>
  <si>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</si>
  <si>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</si>
  <si>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</si>
  <si>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</si>
  <si>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</si>
  <si>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</si>
  <si>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</si>
  <si>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</si>
  <si>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</si>
  <si>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</si>
  <si>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</si>
  <si>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</si>
  <si>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</si>
  <si>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</si>
  <si>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</si>
  <si>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</si>
  <si>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</si>
  <si>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</si>
  <si>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</si>
  <si>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</si>
  <si>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</si>
  <si>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</si>
  <si>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</si>
  <si>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</si>
  <si>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</si>
  <si>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</si>
  <si>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</si>
  <si>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</si>
  <si>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</si>
  <si>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</si>
  <si>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</si>
  <si>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</si>
  <si>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</si>
  <si>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</si>
  <si>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</si>
  <si>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</si>
  <si>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</si>
  <si>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</si>
  <si>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</si>
  <si>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</si>
  <si>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</si>
  <si>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</si>
  <si>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</si>
  <si>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</si>
  <si>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</si>
  <si>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</si>
  <si>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</si>
  <si>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</si>
  <si>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</si>
  <si>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</si>
  <si>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</si>
  <si>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</si>
  <si>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</si>
  <si>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</si>
  <si>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</si>
  <si>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</si>
  <si>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</si>
  <si>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</si>
  <si>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</si>
  <si>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</si>
  <si>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</si>
  <si>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</si>
  <si>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</si>
  <si>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</si>
  <si>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</si>
  <si>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</si>
  <si>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</si>
  <si>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</si>
  <si>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</si>
  <si>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</si>
  <si>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</si>
  <si>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</si>
  <si>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</si>
  <si>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</si>
  <si>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</si>
  <si>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</si>
  <si>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</si>
  <si>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</si>
  <si>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</si>
  <si>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</si>
  <si>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</si>
  <si>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</si>
  <si>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</si>
  <si>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</si>
  <si>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</si>
  <si>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</si>
  <si>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</si>
  <si>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</si>
  <si>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</si>
  <si>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</si>
  <si>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</si>
  <si>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</si>
  <si>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</si>
  <si>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</si>
  <si>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</si>
  <si>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</si>
  <si>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</si>
  <si>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</si>
  <si>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</si>
  <si>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</si>
  <si>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</si>
  <si>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</si>
  <si>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</si>
  <si>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</si>
  <si>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</si>
  <si>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</si>
  <si>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</si>
  <si>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</si>
  <si>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</si>
  <si>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</si>
  <si>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</si>
  <si>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</si>
  <si>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</si>
  <si>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</si>
  <si>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</si>
  <si>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</si>
  <si>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</si>
  <si>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</si>
  <si>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</si>
  <si>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</si>
  <si>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</si>
  <si>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</si>
  <si>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</si>
  <si>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</si>
  <si>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</si>
  <si>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</si>
  <si>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</si>
  <si>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</si>
  <si>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</si>
  <si>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</si>
  <si>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</si>
  <si>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</si>
  <si>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</si>
  <si>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</si>
  <si>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</si>
  <si>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</si>
  <si>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</si>
  <si>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</si>
  <si>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</si>
  <si>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</si>
  <si>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</si>
  <si>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</si>
  <si>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</si>
  <si>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</si>
  <si>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</si>
  <si>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</si>
  <si>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</si>
  <si>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</si>
  <si>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</si>
  <si>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</si>
  <si>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</si>
  <si>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</si>
  <si>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</si>
  <si>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</si>
  <si>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</si>
  <si>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</si>
  <si>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</si>
  <si>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</si>
  <si>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</si>
  <si>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</si>
  <si>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</si>
  <si>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</si>
  <si>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</si>
  <si>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</si>
  <si>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</si>
  <si>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</si>
  <si>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</si>
  <si>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</si>
  <si>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</si>
  <si>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</si>
  <si>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</si>
  <si>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</si>
  <si>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</si>
  <si>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</si>
  <si>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</si>
  <si>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</si>
  <si>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</si>
  <si>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</si>
  <si>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</si>
  <si>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</si>
  <si>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</si>
  <si>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</si>
  <si>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</si>
  <si>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</si>
  <si>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</si>
  <si>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</si>
  <si>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</si>
  <si>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</si>
  <si>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</si>
  <si>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</si>
  <si>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</si>
  <si>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</si>
  <si>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</si>
  <si>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</si>
  <si>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</si>
  <si>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</si>
  <si>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</si>
  <si>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</si>
  <si>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</si>
  <si>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</si>
  <si>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</si>
  <si>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</si>
  <si>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</si>
  <si>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</si>
  <si>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</si>
  <si>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</si>
  <si>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</si>
  <si>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</si>
  <si>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</si>
  <si>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</si>
  <si>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</si>
  <si>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</si>
  <si>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</si>
  <si>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</si>
  <si>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</si>
  <si>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</si>
  <si>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</si>
  <si>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</si>
  <si>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</si>
  <si>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</si>
  <si>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</si>
  <si>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</si>
  <si>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</si>
  <si>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</si>
  <si>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</si>
  <si>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</si>
  <si>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</si>
  <si>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</si>
  <si>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</si>
  <si>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</si>
  <si>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</si>
  <si>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</si>
  <si>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</si>
  <si>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</si>
  <si>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</si>
  <si>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</si>
  <si>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</si>
  <si>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</si>
  <si>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</si>
  <si>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</si>
  <si>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</si>
  <si>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</si>
  <si>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</si>
  <si>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</si>
  <si>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</si>
  <si>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</si>
  <si>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</si>
  <si>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</si>
  <si>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</si>
  <si>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</si>
  <si>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</si>
  <si>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</si>
  <si>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</si>
  <si>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</si>
  <si>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</si>
  <si>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</si>
  <si>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</si>
  <si>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</si>
  <si>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</si>
  <si>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</si>
  <si>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</si>
  <si>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</si>
  <si>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</si>
  <si>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</si>
  <si>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</si>
  <si>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</si>
  <si>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</si>
  <si>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</si>
  <si>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</si>
  <si>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</si>
  <si>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</si>
  <si>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</si>
  <si>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</si>
  <si>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</si>
  <si>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</si>
  <si>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</si>
  <si>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</si>
  <si>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</si>
  <si>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</si>
  <si>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</si>
  <si>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</si>
  <si>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</si>
  <si>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</si>
  <si>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</si>
  <si>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</si>
  <si>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</si>
  <si>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</si>
  <si>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</si>
  <si>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</si>
  <si>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</si>
  <si>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</si>
  <si>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</si>
  <si>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</si>
  <si>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</si>
  <si>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</si>
  <si>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</si>
  <si>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</si>
  <si>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</si>
  <si>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</si>
  <si>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</si>
  <si>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</si>
  <si>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</si>
  <si>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</si>
  <si>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</si>
  <si>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</si>
  <si>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</si>
  <si>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</si>
  <si>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</si>
  <si>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</si>
  <si>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</si>
  <si>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</si>
  <si>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</si>
  <si>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</si>
  <si>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</si>
  <si>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</si>
  <si>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</si>
  <si>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</si>
  <si>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</si>
  <si>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</si>
  <si>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</si>
  <si>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</si>
  <si>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</si>
  <si>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</si>
  <si>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</si>
  <si>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</si>
  <si>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</si>
  <si>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</si>
  <si>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</si>
  <si>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</si>
  <si>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</si>
  <si>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</si>
  <si>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</si>
  <si>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</si>
  <si>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</si>
  <si>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</si>
  <si>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</si>
  <si>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</si>
  <si>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</si>
  <si>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</si>
  <si>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</si>
  <si>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</si>
  <si>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</si>
  <si>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</si>
  <si>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</si>
  <si>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</si>
  <si>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</si>
  <si>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</si>
  <si>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</si>
  <si>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</si>
  <si>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</si>
  <si>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</si>
  <si>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</si>
  <si>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</si>
  <si>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</si>
  <si>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</si>
  <si>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</si>
  <si>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</si>
  <si>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</si>
  <si>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</si>
  <si>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</si>
  <si>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</si>
  <si>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</si>
  <si>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</si>
  <si>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</si>
  <si>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</si>
  <si>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</si>
  <si>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</si>
  <si>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</si>
  <si>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</si>
  <si>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</si>
  <si>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</si>
  <si>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</si>
  <si>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</si>
  <si>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</si>
  <si>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</si>
  <si>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</si>
  <si>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</si>
  <si>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</si>
  <si>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</si>
  <si>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</si>
  <si>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</si>
  <si>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</si>
  <si>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</si>
  <si>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</si>
  <si>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</si>
  <si>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</si>
  <si>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</si>
  <si>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</si>
  <si>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</si>
  <si>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</si>
  <si>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</si>
  <si>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</si>
  <si>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</si>
  <si>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</si>
  <si>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</si>
  <si>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</si>
  <si>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</si>
  <si>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</si>
  <si>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</si>
  <si>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</si>
  <si>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</si>
  <si>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</si>
  <si>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</si>
  <si>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</si>
  <si>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</si>
  <si>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</si>
  <si>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</si>
  <si>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</si>
  <si>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</si>
  <si>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</si>
  <si>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</si>
  <si>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</si>
  <si>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</si>
  <si>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</si>
  <si>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</si>
  <si>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</si>
  <si>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</si>
  <si>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</si>
  <si>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</si>
  <si>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</si>
  <si>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</si>
  <si>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</si>
  <si>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</si>
  <si>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</si>
  <si>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</si>
  <si>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</si>
  <si>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</si>
  <si>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</si>
  <si>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</si>
  <si>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</si>
  <si>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</si>
  <si>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</si>
  <si>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</si>
  <si>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</si>
  <si>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</si>
  <si>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</si>
  <si>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</si>
  <si>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</si>
  <si>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</si>
  <si>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</si>
  <si>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</si>
  <si>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</si>
  <si>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</si>
  <si>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</si>
  <si>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</si>
  <si>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</si>
  <si>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</si>
  <si>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</si>
  <si>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</si>
  <si>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</si>
  <si>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</si>
  <si>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</si>
  <si>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</si>
  <si>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</si>
  <si>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</si>
  <si>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</si>
  <si>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</si>
  <si>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</si>
  <si>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</si>
  <si>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</si>
  <si>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</si>
  <si>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</si>
  <si>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</si>
  <si>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</si>
  <si>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</si>
  <si>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</si>
  <si>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</si>
  <si>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</si>
  <si>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</si>
  <si>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</si>
  <si>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</si>
  <si>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</si>
  <si>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</si>
  <si>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</si>
  <si>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</si>
  <si>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</si>
  <si>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</si>
  <si>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</si>
  <si>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</si>
  <si>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</si>
  <si>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</si>
  <si>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</si>
  <si>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</si>
  <si>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</si>
  <si>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</si>
  <si>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</si>
  <si>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</si>
  <si>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</si>
  <si>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</si>
  <si>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</si>
  <si>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</si>
  <si>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</si>
  <si>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</si>
  <si>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</si>
  <si>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</si>
  <si>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</si>
  <si>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</si>
  <si>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</si>
  <si>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</si>
  <si>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</si>
  <si>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</si>
  <si>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</si>
  <si>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</si>
  <si>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</si>
  <si>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</si>
  <si>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</si>
  <si>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</si>
  <si>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</si>
  <si>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</si>
  <si>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</si>
  <si>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</si>
  <si>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</si>
  <si>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</si>
  <si>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</si>
  <si>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</si>
  <si>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</si>
  <si>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</si>
  <si>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</si>
  <si>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</si>
  <si>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</si>
  <si>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</si>
  <si>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</si>
  <si>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</si>
  <si>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</si>
  <si>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</si>
  <si>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</si>
  <si>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</si>
  <si>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</si>
  <si>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</si>
  <si>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</si>
  <si>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</si>
  <si>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</si>
  <si>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</si>
  <si>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</si>
  <si>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</si>
  <si>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</si>
  <si>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</si>
  <si>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</si>
  <si>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</si>
  <si>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</si>
  <si>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</si>
  <si>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</si>
  <si>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</si>
  <si>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</si>
  <si>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</si>
  <si>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</si>
  <si>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</si>
  <si>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</si>
  <si>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</si>
  <si>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</si>
  <si>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</si>
  <si>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</si>
  <si>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</si>
  <si>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</si>
  <si>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</si>
  <si>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</si>
  <si>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</si>
  <si>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</si>
  <si>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</si>
  <si>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</si>
  <si>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</si>
  <si>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</si>
  <si>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</si>
  <si>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</si>
  <si>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</si>
  <si>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</si>
  <si>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</si>
  <si>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</si>
  <si>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</si>
  <si>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</si>
  <si>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</si>
  <si>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</si>
  <si>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</si>
  <si>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</si>
  <si>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</si>
  <si>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</si>
  <si>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</si>
  <si>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</si>
  <si>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</si>
  <si>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</si>
  <si>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</si>
  <si>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</si>
  <si>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</si>
  <si>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</si>
  <si>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</si>
  <si>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</si>
  <si>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</si>
  <si>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</si>
  <si>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</si>
  <si>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</si>
  <si>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</si>
  <si>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</si>
  <si>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</si>
  <si>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</si>
  <si>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</si>
  <si>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</si>
  <si>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</si>
  <si>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</si>
  <si>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</si>
  <si>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</si>
  <si>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</si>
  <si>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</si>
  <si>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</si>
  <si>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</si>
  <si>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</si>
  <si>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</si>
  <si>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</si>
  <si>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</si>
  <si>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</si>
  <si>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</si>
  <si>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</si>
  <si>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</si>
  <si>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</si>
  <si>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</si>
  <si>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</si>
  <si>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</si>
  <si>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</si>
  <si>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</si>
  <si>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</si>
  <si>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</si>
  <si>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</si>
  <si>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</si>
  <si>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</si>
  <si>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</si>
  <si>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</si>
  <si>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</si>
  <si>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</si>
  <si>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</si>
  <si>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</si>
  <si>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</si>
  <si>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</si>
  <si>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</si>
  <si>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</si>
  <si>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</si>
  <si>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</si>
  <si>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</si>
  <si>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</si>
  <si>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</si>
  <si>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</si>
  <si>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</si>
  <si>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</si>
  <si>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</si>
  <si>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</si>
  <si>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</si>
  <si>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</si>
  <si>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</si>
  <si>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</si>
  <si>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</si>
  <si>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</si>
  <si>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</si>
  <si>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</si>
  <si>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</si>
  <si>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</si>
  <si>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</si>
  <si>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</si>
  <si>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</si>
  <si>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</si>
  <si>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</si>
  <si>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</si>
  <si>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</si>
  <si>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</si>
  <si>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</si>
  <si>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</si>
  <si>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</si>
  <si>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</si>
  <si>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</si>
  <si>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</si>
  <si>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</si>
  <si>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</si>
  <si>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</si>
  <si>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</si>
  <si>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</si>
  <si>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</si>
  <si>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</si>
  <si>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</si>
  <si>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</si>
  <si>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</si>
  <si>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</si>
  <si>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</si>
  <si>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</si>
  <si>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</si>
  <si>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</si>
  <si>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</si>
  <si>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</si>
  <si>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</si>
  <si>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</si>
  <si>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</si>
  <si>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</si>
  <si>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</si>
  <si>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</si>
  <si>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</si>
  <si>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</si>
  <si>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</si>
  <si>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</si>
  <si>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</si>
  <si>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</si>
  <si>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</si>
  <si>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</si>
  <si>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</si>
  <si>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</si>
  <si>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</si>
  <si>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</si>
  <si>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</si>
  <si>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</si>
  <si>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</si>
  <si>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</si>
  <si>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</si>
  <si>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</si>
  <si>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</si>
  <si>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</si>
  <si>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</si>
  <si>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</si>
  <si>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</si>
  <si>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</si>
  <si>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</si>
  <si>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</si>
  <si>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</si>
  <si>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</si>
  <si>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</si>
  <si>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</si>
  <si>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</si>
  <si>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</si>
  <si>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</si>
  <si>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</si>
  <si>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</si>
  <si>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</si>
  <si>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</si>
  <si>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</si>
  <si>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</si>
  <si>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</si>
  <si>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</si>
  <si>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</si>
  <si>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</si>
  <si>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</si>
  <si>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</si>
  <si>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</si>
  <si>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</si>
  <si>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</si>
  <si>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</si>
  <si>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</si>
  <si>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</si>
  <si>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</si>
  <si>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</si>
  <si>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</si>
  <si>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</si>
  <si>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</si>
  <si>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</si>
  <si>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</si>
  <si>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</si>
  <si>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</si>
  <si>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</si>
  <si>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</si>
  <si>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</si>
  <si>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</si>
  <si>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</si>
  <si>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</si>
  <si>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</si>
  <si>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</si>
  <si>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</si>
  <si>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</si>
  <si>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</si>
  <si>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</si>
  <si>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</si>
  <si>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</si>
  <si>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</si>
  <si>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</si>
  <si>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</si>
  <si>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</si>
  <si>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</si>
  <si>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</si>
  <si>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</si>
  <si>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</si>
  <si>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</si>
  <si>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</si>
  <si>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</si>
  <si>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</si>
  <si>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</si>
  <si>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</si>
  <si>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</si>
  <si>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</si>
  <si>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</si>
  <si>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</si>
  <si>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</si>
  <si>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</si>
  <si>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</si>
  <si>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</si>
  <si>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</si>
  <si>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</si>
  <si>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</si>
  <si>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</si>
  <si>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</si>
  <si>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</si>
  <si>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</si>
  <si>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</si>
  <si>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</si>
  <si>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</si>
  <si>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</si>
  <si>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</si>
  <si>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</si>
  <si>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</si>
  <si>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</si>
  <si>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</si>
  <si>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</si>
  <si>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</si>
  <si>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</si>
  <si>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</si>
  <si>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</si>
  <si>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</si>
  <si>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</si>
  <si>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</si>
  <si>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</si>
  <si>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</si>
  <si>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</si>
  <si>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</si>
  <si>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</si>
  <si>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</si>
  <si>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</si>
  <si>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</si>
  <si>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</si>
  <si>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</si>
  <si>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</si>
  <si>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</si>
  <si>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</si>
  <si>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</si>
  <si>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</si>
  <si>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</si>
  <si>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</si>
  <si>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</si>
  <si>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</si>
  <si>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</si>
  <si>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</si>
  <si>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</si>
  <si>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</si>
  <si>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</si>
  <si>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</si>
  <si>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</si>
  <si>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</si>
  <si>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</si>
  <si>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</si>
  <si>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</si>
  <si>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</si>
  <si>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</si>
  <si>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</si>
  <si>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</si>
  <si>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</si>
  <si>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</si>
  <si>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</si>
  <si>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</si>
  <si>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</si>
  <si>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</si>
  <si>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</si>
  <si>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</si>
  <si>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</si>
  <si>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</si>
  <si>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</si>
  <si>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</si>
  <si>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</si>
  <si>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</si>
  <si>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</si>
  <si>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</si>
  <si>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</si>
  <si>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</si>
  <si>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</si>
  <si>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</si>
  <si>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</si>
  <si>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</si>
  <si>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</si>
  <si>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</si>
  <si>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</si>
  <si>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</si>
  <si>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</si>
  <si>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</si>
  <si>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</si>
  <si>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</si>
  <si>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</si>
  <si>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</si>
  <si>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</si>
  <si>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</si>
  <si>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</si>
  <si>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</si>
  <si>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</si>
  <si>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</si>
  <si>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</si>
  <si>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</si>
  <si>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</si>
  <si>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</si>
  <si>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</si>
  <si>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</si>
  <si>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</si>
  <si>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</si>
  <si>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</si>
  <si>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</si>
  <si>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</si>
  <si>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</si>
  <si>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</si>
  <si>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</si>
  <si>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</si>
  <si>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</si>
  <si>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</si>
  <si>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</si>
  <si>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</si>
  <si>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</si>
  <si>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</si>
  <si>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</si>
  <si>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</si>
  <si>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</si>
  <si>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</si>
  <si>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</si>
  <si>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</si>
  <si>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</si>
  <si>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</si>
  <si>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</si>
  <si>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</si>
  <si>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</si>
  <si>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</si>
  <si>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</si>
  <si>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</si>
  <si>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</si>
  <si>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</si>
  <si>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</si>
  <si>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</si>
  <si>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</si>
  <si>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</si>
  <si>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</si>
  <si>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</si>
  <si>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</si>
  <si>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</si>
  <si>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</si>
  <si>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</si>
  <si>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</si>
  <si>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</si>
  <si>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</si>
  <si>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</si>
  <si>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</si>
  <si>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</si>
  <si>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</si>
  <si>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</si>
  <si>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</si>
  <si>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</si>
  <si>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</si>
  <si>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</si>
  <si>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</si>
  <si>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</si>
  <si>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</si>
  <si>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</si>
  <si>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</si>
  <si>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</si>
  <si>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</si>
  <si>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</si>
  <si>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</si>
  <si>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</si>
  <si>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</si>
  <si>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</si>
  <si>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</si>
  <si>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</si>
  <si>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</si>
  <si>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</si>
  <si>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</si>
  <si>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</si>
  <si>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</si>
  <si>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</si>
  <si>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</si>
  <si>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</si>
  <si>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</si>
  <si>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</si>
  <si>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</si>
  <si>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</si>
  <si>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</si>
  <si>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</si>
  <si>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</si>
  <si>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</si>
  <si>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</si>
  <si>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</si>
  <si>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</si>
  <si>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</si>
  <si>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</si>
  <si>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</si>
  <si>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</si>
  <si>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</si>
  <si>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</si>
  <si>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</si>
  <si>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</si>
  <si>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</si>
  <si>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</si>
  <si>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</si>
  <si>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</si>
  <si>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</si>
  <si>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</si>
  <si>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</si>
  <si>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</si>
  <si>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</si>
  <si>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</si>
  <si>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</si>
  <si>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</si>
  <si>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</si>
  <si>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</si>
  <si>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</si>
  <si>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</si>
  <si>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</si>
  <si>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</si>
  <si>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</si>
  <si>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</si>
  <si>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</si>
  <si>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</si>
  <si>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</si>
  <si>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</si>
  <si>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</si>
  <si>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</si>
  <si>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</si>
  <si>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</si>
  <si>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</si>
  <si>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</si>
  <si>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</si>
  <si>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</si>
  <si>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</si>
  <si>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</si>
  <si>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</si>
  <si>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</si>
  <si>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</si>
  <si>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</si>
  <si>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</si>
  <si>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</si>
  <si>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</si>
  <si>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</si>
  <si>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</si>
  <si>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</si>
  <si>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</si>
  <si>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</si>
  <si>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</si>
  <si>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</si>
  <si>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</si>
  <si>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</si>
  <si>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</si>
  <si>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</si>
  <si>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</si>
  <si>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</si>
  <si>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</si>
  <si>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</si>
  <si>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</si>
  <si>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</si>
  <si>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</si>
  <si>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</si>
  <si>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</si>
  <si>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</si>
  <si>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</si>
  <si>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</si>
  <si>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</si>
  <si>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</si>
  <si>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</si>
  <si>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</si>
  <si>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</si>
  <si>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</si>
  <si>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</si>
  <si>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</si>
  <si>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</si>
  <si>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</si>
  <si>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</si>
  <si>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</si>
  <si>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</si>
  <si>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</si>
  <si>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</si>
  <si>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</si>
  <si>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</si>
  <si>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</si>
  <si>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</si>
  <si>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</si>
  <si>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</si>
  <si>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</si>
  <si>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</si>
  <si>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</si>
  <si>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</si>
  <si>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</si>
  <si>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</si>
  <si>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</si>
  <si>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</si>
  <si>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</si>
  <si>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</si>
  <si>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</si>
  <si>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</si>
  <si>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</si>
  <si>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</si>
  <si>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</si>
  <si>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</si>
  <si>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</si>
  <si>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</si>
  <si>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</si>
  <si>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</si>
  <si>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</si>
  <si>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</si>
  <si>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</si>
  <si>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</si>
  <si>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</si>
  <si>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</si>
  <si>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</si>
  <si>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</si>
  <si>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</si>
  <si>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</si>
  <si>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</si>
  <si>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</si>
  <si>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</si>
  <si>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</si>
  <si>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</si>
  <si>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</si>
  <si>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</si>
  <si>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</si>
  <si>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</si>
  <si>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</si>
  <si>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</si>
  <si>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</si>
  <si>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</si>
  <si>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</si>
  <si>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</si>
  <si>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</si>
  <si>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</si>
  <si>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</si>
  <si>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</si>
  <si>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</si>
  <si>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</si>
  <si>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</si>
  <si>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</si>
  <si>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</si>
  <si>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</si>
  <si>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</si>
  <si>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</si>
  <si>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</si>
  <si>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</si>
  <si>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</si>
  <si>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</si>
  <si>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</si>
  <si>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</si>
  <si>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</si>
  <si>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</si>
  <si>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</si>
  <si>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</si>
  <si>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</si>
  <si>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</si>
  <si>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</si>
  <si>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</si>
  <si>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</si>
  <si>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</si>
  <si>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</si>
  <si>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</si>
  <si>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</si>
  <si>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</si>
  <si>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</si>
  <si>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</si>
  <si>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</si>
  <si>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</si>
  <si>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</si>
  <si>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</si>
  <si>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</si>
  <si>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</si>
  <si>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</si>
  <si>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</si>
  <si>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</si>
  <si>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</si>
  <si>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</si>
  <si>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</si>
  <si>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</si>
  <si>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</si>
  <si>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</si>
  <si>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</si>
  <si>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</si>
  <si>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</si>
  <si>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</si>
  <si>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</si>
  <si>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</si>
  <si>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</si>
  <si>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</si>
  <si>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</si>
  <si>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</si>
  <si>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</si>
  <si>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</si>
  <si>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</si>
  <si>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</si>
  <si>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</si>
  <si>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</si>
  <si>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</si>
  <si>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</si>
  <si>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</si>
  <si>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</si>
  <si>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</si>
  <si>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</si>
  <si>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</si>
  <si>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</si>
  <si>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</si>
  <si>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</si>
  <si>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</si>
  <si>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</si>
  <si>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</si>
  <si>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</si>
  <si>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</si>
  <si>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</si>
  <si>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</si>
  <si>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</si>
  <si>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</si>
  <si>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</si>
  <si>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</si>
  <si>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</si>
  <si>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</si>
  <si>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</si>
  <si>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</si>
  <si>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</si>
  <si>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</si>
  <si>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</si>
  <si>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</si>
  <si>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</si>
  <si>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</si>
  <si>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</si>
  <si>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</si>
  <si>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</si>
  <si>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</si>
  <si>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</si>
  <si>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</si>
  <si>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</si>
  <si>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</si>
  <si>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</si>
  <si>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</si>
  <si>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</si>
  <si>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</si>
  <si>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</si>
  <si>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</si>
  <si>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</si>
  <si>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</si>
  <si>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</si>
  <si>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</si>
  <si>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</si>
  <si>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</si>
  <si>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</si>
  <si>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</si>
  <si>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</si>
  <si>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</si>
  <si>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</si>
  <si>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</si>
  <si>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</si>
  <si>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</si>
  <si>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</si>
  <si>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</si>
  <si>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</si>
  <si>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</si>
  <si>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</si>
  <si>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</si>
  <si>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</si>
  <si>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</si>
  <si>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</si>
  <si>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</si>
  <si>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</si>
  <si>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</si>
  <si>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</si>
  <si>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</si>
  <si>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</si>
  <si>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</si>
  <si>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</si>
  <si>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</si>
  <si>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</si>
  <si>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</si>
  <si>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</si>
  <si>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</si>
  <si>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</si>
  <si>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</si>
  <si>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</si>
  <si>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</si>
  <si>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</si>
  <si>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</si>
  <si>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</si>
  <si>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</si>
  <si>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</si>
  <si>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</si>
  <si>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</si>
  <si>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</si>
  <si>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</si>
  <si>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</si>
  <si>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</si>
  <si>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</si>
  <si>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</si>
  <si>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</si>
  <si>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</si>
  <si>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</si>
  <si>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</si>
  <si>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</si>
  <si>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</si>
  <si>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</si>
  <si>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</si>
  <si>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</si>
  <si>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</si>
  <si>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</si>
  <si>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</si>
  <si>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</si>
  <si>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</si>
  <si>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</si>
  <si>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</si>
  <si>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</si>
  <si>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</si>
  <si>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</si>
  <si>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</si>
  <si>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</si>
  <si>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</si>
  <si>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</si>
  <si>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</si>
  <si>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</si>
  <si>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</si>
  <si>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</si>
  <si>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</si>
  <si>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</si>
  <si>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</si>
  <si>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</si>
  <si>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</si>
  <si>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</si>
  <si>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</si>
  <si>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</si>
  <si>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</si>
  <si>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</si>
  <si>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</si>
  <si>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</si>
  <si>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</si>
  <si>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</si>
  <si>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</si>
  <si>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</si>
  <si>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</si>
  <si>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</si>
  <si>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</si>
  <si>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</si>
  <si>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</si>
  <si>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</si>
  <si>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</si>
  <si>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</si>
  <si>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</si>
  <si>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</si>
  <si>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</si>
  <si>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</si>
  <si>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</si>
  <si>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</si>
  <si>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</si>
  <si>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</si>
  <si>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</si>
  <si>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</si>
  <si>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</si>
  <si>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</si>
  <si>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</si>
  <si>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</si>
  <si>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</si>
  <si>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</si>
  <si>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</si>
  <si>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</si>
  <si>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</si>
  <si>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</si>
  <si>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</si>
  <si>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</si>
  <si>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</si>
  <si>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</si>
  <si>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</si>
  <si>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</si>
  <si>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</si>
  <si>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</si>
  <si>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</si>
  <si>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</si>
  <si>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</si>
  <si>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</si>
  <si>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</si>
  <si>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</si>
  <si>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</si>
  <si>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</si>
  <si>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</si>
  <si>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</si>
  <si>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</si>
  <si>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</si>
  <si>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</si>
  <si>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</si>
  <si>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</si>
  <si>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</si>
  <si>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</si>
  <si>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</si>
  <si>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</si>
  <si>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</si>
  <si>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</si>
  <si>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</si>
  <si>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</si>
  <si>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</si>
  <si>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</si>
  <si>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</si>
  <si>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</si>
  <si>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</si>
  <si>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</si>
  <si>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</si>
  <si>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</si>
  <si>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</si>
  <si>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</si>
  <si>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</si>
  <si>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</si>
  <si>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</si>
  <si>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</si>
  <si>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</si>
  <si>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</si>
  <si>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</si>
  <si>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</si>
  <si>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</si>
  <si>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</si>
  <si>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</si>
  <si>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</si>
  <si>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</si>
  <si>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</si>
  <si>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</si>
  <si>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</si>
  <si>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</si>
  <si>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</si>
  <si>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</si>
  <si>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</si>
  <si>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</si>
  <si>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</si>
  <si>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</si>
  <si>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</si>
  <si>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</si>
  <si>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</si>
  <si>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</si>
  <si>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</si>
  <si>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</si>
  <si>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</si>
  <si>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</si>
  <si>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</si>
  <si>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</si>
  <si>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</si>
  <si>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</si>
  <si>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</si>
  <si>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</si>
  <si>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</si>
  <si>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</si>
  <si>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</si>
  <si>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</si>
  <si>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</si>
  <si>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</si>
  <si>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</si>
  <si>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</si>
  <si>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</si>
  <si>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</si>
  <si>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</si>
  <si>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</si>
  <si>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</si>
  <si>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</si>
  <si>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</si>
  <si>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</si>
  <si>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</si>
  <si>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</si>
  <si>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</si>
  <si>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</si>
  <si>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</si>
  <si>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</si>
  <si>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</si>
  <si>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</si>
  <si>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</si>
  <si>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</si>
  <si>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</si>
  <si>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</si>
  <si>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</si>
  <si>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</si>
  <si>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</si>
  <si>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</si>
  <si>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</si>
  <si>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</si>
  <si>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</si>
  <si>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</si>
  <si>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</si>
  <si>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</si>
  <si>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</si>
  <si>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</si>
  <si>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</si>
  <si>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</si>
  <si>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</si>
  <si>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</si>
  <si>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</si>
  <si>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</si>
  <si>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</si>
  <si>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</si>
  <si>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</si>
  <si>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</si>
  <si>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</si>
  <si>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</si>
  <si>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</si>
  <si>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</si>
  <si>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</si>
  <si>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</si>
  <si>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</si>
  <si>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</si>
  <si>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</si>
  <si>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</si>
  <si>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</si>
  <si>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</si>
  <si>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</si>
  <si>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</si>
  <si>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</si>
  <si>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</si>
  <si>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</si>
  <si>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</si>
  <si>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</si>
  <si>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</si>
  <si>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</si>
  <si>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</si>
  <si>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</si>
  <si>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</si>
  <si>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</si>
  <si>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</si>
  <si>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</si>
  <si>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</si>
  <si>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</si>
  <si>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</si>
  <si>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</si>
  <si>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</si>
  <si>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</si>
  <si>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</si>
  <si>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</si>
  <si>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</si>
  <si>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</si>
  <si>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</si>
  <si>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</si>
  <si>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</si>
  <si>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</si>
  <si>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</si>
  <si>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</si>
  <si>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</si>
  <si>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</si>
  <si>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</si>
  <si>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</si>
  <si>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</si>
  <si>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</si>
  <si>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</si>
  <si>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</si>
  <si>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</si>
  <si>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</si>
  <si>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</si>
  <si>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</si>
  <si>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</si>
  <si>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</si>
  <si>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</si>
  <si>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</si>
  <si>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</si>
  <si>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</si>
  <si>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</si>
  <si>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</si>
  <si>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</si>
  <si>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</si>
  <si>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</si>
  <si>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</si>
  <si>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</si>
  <si>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</si>
  <si>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</si>
  <si>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</si>
  <si>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</si>
  <si>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</si>
  <si>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</si>
  <si>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</si>
  <si>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</si>
  <si>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</si>
  <si>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</si>
  <si>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</si>
  <si>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</si>
  <si>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</si>
  <si>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</si>
  <si>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</si>
  <si>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</si>
  <si>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</si>
  <si>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</si>
  <si>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</si>
  <si>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</si>
  <si>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</si>
  <si>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</si>
  <si>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</si>
  <si>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</si>
  <si>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</si>
  <si>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</si>
  <si>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</si>
  <si>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</si>
  <si>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</si>
  <si>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</si>
  <si>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</si>
  <si>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</si>
  <si>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</si>
  <si>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</si>
  <si>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</si>
  <si>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</si>
  <si>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</si>
  <si>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</si>
  <si>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</si>
  <si>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</si>
  <si>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</si>
  <si>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</si>
  <si>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</si>
  <si>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</si>
  <si>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</si>
  <si>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</si>
  <si>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</si>
  <si>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</si>
  <si>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</si>
  <si>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</si>
  <si>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</si>
  <si>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</si>
  <si>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</si>
  <si>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</si>
  <si>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</si>
  <si>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</si>
  <si>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</si>
  <si>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</si>
  <si>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</si>
  <si>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</si>
  <si>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</si>
  <si>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</si>
  <si>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</si>
  <si>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</si>
  <si>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</si>
  <si>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</si>
  <si>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</si>
  <si>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</si>
  <si>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</si>
  <si>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</si>
  <si>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</si>
  <si>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</si>
  <si>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</si>
  <si>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</si>
  <si>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</si>
  <si>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</si>
  <si>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</si>
  <si>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</si>
  <si>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</si>
  <si>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</si>
  <si>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</si>
  <si>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</si>
  <si>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</si>
  <si>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</si>
  <si>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</si>
  <si>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</si>
  <si>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</si>
  <si>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</si>
  <si>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</si>
  <si>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</si>
  <si>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</si>
  <si>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</si>
  <si>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</si>
  <si>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</si>
  <si>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</si>
  <si>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</si>
  <si>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</si>
  <si>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</si>
  <si>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</si>
  <si>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</si>
  <si>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</si>
  <si>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</si>
  <si>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</si>
  <si>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</si>
  <si>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</si>
  <si>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</si>
  <si>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</si>
  <si>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</si>
  <si>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</si>
  <si>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</si>
  <si>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</si>
  <si>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</si>
  <si>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</si>
  <si>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</si>
  <si>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</si>
  <si>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</si>
  <si>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</si>
  <si>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</si>
  <si>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</si>
  <si>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</si>
  <si>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</si>
  <si>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</si>
  <si>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</si>
  <si>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</si>
  <si>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</si>
  <si>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</si>
  <si>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</si>
  <si>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</si>
  <si>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</si>
  <si>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</si>
  <si>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</si>
  <si>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</si>
  <si>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</si>
  <si>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</si>
  <si>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</si>
  <si>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</si>
  <si>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</si>
  <si>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</si>
  <si>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</si>
  <si>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</si>
  <si>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</si>
  <si>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</si>
  <si>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</si>
  <si>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</si>
  <si>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</si>
  <si>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</si>
  <si>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</si>
  <si>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</si>
  <si>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</si>
  <si>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</si>
  <si>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</si>
  <si>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</si>
  <si>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</si>
  <si>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</si>
  <si>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</si>
  <si>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</si>
  <si>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</si>
  <si>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</si>
  <si>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</si>
  <si>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</si>
  <si>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</si>
  <si>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</si>
  <si>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</si>
  <si>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</si>
  <si>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</si>
  <si>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</si>
  <si>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</si>
  <si>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</si>
  <si>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</si>
  <si>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</si>
  <si>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</si>
  <si>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</si>
  <si>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</si>
  <si>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</si>
  <si>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</si>
  <si>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</si>
  <si>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</si>
  <si>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</si>
  <si>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</si>
  <si>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</si>
  <si>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</si>
  <si>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</si>
  <si>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</si>
  <si>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</si>
  <si>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</si>
  <si>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</si>
  <si>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</si>
  <si>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</si>
  <si>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</si>
  <si>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</si>
  <si>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</si>
  <si>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</si>
  <si>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</si>
  <si>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</si>
  <si>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</si>
  <si>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</si>
  <si>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</si>
  <si>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</si>
  <si>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</si>
  <si>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</si>
  <si>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</si>
  <si>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</si>
  <si>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</si>
  <si>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</si>
  <si>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</si>
  <si>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</si>
  <si>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</si>
  <si>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</si>
  <si>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</si>
  <si>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</si>
  <si>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</si>
  <si>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</si>
  <si>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</si>
  <si>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</si>
  <si>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</si>
  <si>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</si>
  <si>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</si>
  <si>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</si>
  <si>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</si>
  <si>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</si>
  <si>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</si>
  <si>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</si>
  <si>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</si>
  <si>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</si>
  <si>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</si>
  <si>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</si>
  <si>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</si>
  <si>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</si>
  <si>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</si>
  <si>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</si>
  <si>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</si>
  <si>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</si>
  <si>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</si>
  <si>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</si>
  <si>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</si>
  <si>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</si>
  <si>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</si>
  <si>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</si>
  <si>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</si>
  <si>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</si>
  <si>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</si>
  <si>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</si>
  <si>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</si>
  <si>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</si>
  <si>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</si>
  <si>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</si>
  <si>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</si>
  <si>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</si>
  <si>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</si>
  <si>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</si>
  <si>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</si>
  <si>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</si>
  <si>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</si>
  <si>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</si>
  <si>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</si>
  <si>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</si>
  <si>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</si>
  <si>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</si>
  <si>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</si>
  <si>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</si>
  <si>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</si>
  <si>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</si>
  <si>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</si>
  <si>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</si>
  <si>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</si>
  <si>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</si>
  <si>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</si>
  <si>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</si>
  <si>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</si>
  <si>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</si>
  <si>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</si>
  <si>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</si>
  <si>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</si>
  <si>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</si>
  <si>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</si>
  <si>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</si>
  <si>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</si>
  <si>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</si>
  <si>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</si>
  <si>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</si>
  <si>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</si>
  <si>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</si>
  <si>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</si>
  <si>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</si>
  <si>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</si>
  <si>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</si>
  <si>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</si>
  <si>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</si>
  <si>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</si>
  <si>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</si>
  <si>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</si>
  <si>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</si>
  <si>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</si>
  <si>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</si>
  <si>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</si>
  <si>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</si>
  <si>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</si>
  <si>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</si>
  <si>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</si>
  <si>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</si>
  <si>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</si>
  <si>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</si>
  <si>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</si>
  <si>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</si>
  <si>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</si>
  <si>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</si>
  <si>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</si>
  <si>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</si>
  <si>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</si>
  <si>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</si>
  <si>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</si>
  <si>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</si>
  <si>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</si>
  <si>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</si>
  <si>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</si>
  <si>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</si>
  <si>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</si>
  <si>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</si>
  <si>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</si>
  <si>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</si>
  <si>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</si>
  <si>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</si>
  <si>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</si>
  <si>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</si>
  <si>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</si>
  <si>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</si>
  <si>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</si>
  <si>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</si>
  <si>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</si>
  <si>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</si>
  <si>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</si>
  <si>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</si>
  <si>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</si>
  <si>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</si>
  <si>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</si>
  <si>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</si>
  <si>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</si>
  <si>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</si>
  <si>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</si>
  <si>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</si>
  <si>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</si>
  <si>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</si>
  <si>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</si>
  <si>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</si>
  <si>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</si>
  <si>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</si>
  <si>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</si>
  <si>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</si>
  <si>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</si>
  <si>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</si>
  <si>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</si>
  <si>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</si>
  <si>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</si>
  <si>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</si>
  <si>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</si>
  <si>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</si>
  <si>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</si>
  <si>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</si>
  <si>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</si>
  <si>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</si>
  <si>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</si>
  <si>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</si>
  <si>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</si>
  <si>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</si>
  <si>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</si>
  <si>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</si>
  <si>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</si>
  <si>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</si>
  <si>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</si>
  <si>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</si>
  <si>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</si>
  <si>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</si>
  <si>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</si>
  <si>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</si>
  <si>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</si>
  <si>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</si>
  <si>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</si>
  <si>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</si>
  <si>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</si>
  <si>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</si>
  <si>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</si>
  <si>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</si>
  <si>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</si>
  <si>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</si>
  <si>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</si>
  <si>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</si>
  <si>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</si>
  <si>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</si>
  <si>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</si>
  <si>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</si>
  <si>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</si>
  <si>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</si>
  <si>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</si>
  <si>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</si>
  <si>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</si>
  <si>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</si>
  <si>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</si>
  <si>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</si>
  <si>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</si>
  <si>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</si>
  <si>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</si>
  <si>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</si>
  <si>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</si>
  <si>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</si>
  <si>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</si>
  <si>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</si>
  <si>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</si>
  <si>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</si>
  <si>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</si>
  <si>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</si>
  <si>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</si>
  <si>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</si>
  <si>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</si>
  <si>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</si>
  <si>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</si>
  <si>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</si>
  <si>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</si>
  <si>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</si>
  <si>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</si>
  <si>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</si>
  <si>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</si>
  <si>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</si>
  <si>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</si>
  <si>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</si>
  <si>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</si>
  <si>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</si>
  <si>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</si>
  <si>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</si>
  <si>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</si>
  <si>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</si>
  <si>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</si>
  <si>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</si>
  <si>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</si>
  <si>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</si>
  <si>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</si>
  <si>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</si>
  <si>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</si>
  <si>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</si>
  <si>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</si>
  <si>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</si>
  <si>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</si>
  <si>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</si>
  <si>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</si>
  <si>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</si>
  <si>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</si>
  <si>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</si>
  <si>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</si>
  <si>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</si>
  <si>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</si>
  <si>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</si>
  <si>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</si>
  <si>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</si>
  <si>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</si>
  <si>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</si>
  <si>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</si>
  <si>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</si>
  <si>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</si>
  <si>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</si>
  <si>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</si>
  <si>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</si>
  <si>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</si>
  <si>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</si>
  <si>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</si>
  <si>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</si>
  <si>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</si>
  <si>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</si>
  <si>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</si>
  <si>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</si>
  <si>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</si>
  <si>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</si>
  <si>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</si>
  <si>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</si>
  <si>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</si>
  <si>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</si>
  <si>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</si>
  <si>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</si>
  <si>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</si>
  <si>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</si>
  <si>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</si>
  <si>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</si>
  <si>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</si>
  <si>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</si>
  <si>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</si>
  <si>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</si>
  <si>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</si>
  <si>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</si>
  <si>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</si>
  <si>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</si>
  <si>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</si>
  <si>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</si>
  <si>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</si>
  <si>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</si>
  <si>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</si>
  <si>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</si>
  <si>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</si>
  <si>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</si>
  <si>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</si>
  <si>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</si>
  <si>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</si>
  <si>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</si>
  <si>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</si>
  <si>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</si>
  <si>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</si>
  <si>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</si>
  <si>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</si>
  <si>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</si>
  <si>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</si>
  <si>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</si>
  <si>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</si>
  <si>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</si>
  <si>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</si>
  <si>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</si>
  <si>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</si>
  <si>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</si>
  <si>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</si>
  <si>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</si>
  <si>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</si>
  <si>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</si>
  <si>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</si>
  <si>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</si>
  <si>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</si>
  <si>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</si>
  <si>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</si>
  <si>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</si>
  <si>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</si>
  <si>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</si>
  <si>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</si>
  <si>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</si>
  <si>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</si>
  <si>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</si>
  <si>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</si>
  <si>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</si>
  <si>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</si>
  <si>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</si>
  <si>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</si>
  <si>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</si>
  <si>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</si>
  <si>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</si>
  <si>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</si>
  <si>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</si>
  <si>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</si>
  <si>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</si>
  <si>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</si>
  <si>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</si>
  <si>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</si>
  <si>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</si>
  <si>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</si>
  <si>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</si>
  <si>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</si>
  <si>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</si>
  <si>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</si>
  <si>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</si>
  <si>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</si>
  <si>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</si>
  <si>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</si>
  <si>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</si>
  <si>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</si>
  <si>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</si>
  <si>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</si>
  <si>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</si>
  <si>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</si>
  <si>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</si>
  <si>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</si>
  <si>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</si>
  <si>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</si>
  <si>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</si>
  <si>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</si>
  <si>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</si>
  <si>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</si>
  <si>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</si>
  <si>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</si>
  <si>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</si>
  <si>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</si>
  <si>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</si>
  <si>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</si>
  <si>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</si>
  <si>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</si>
  <si>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</si>
  <si>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</si>
  <si>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</si>
  <si>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</si>
  <si>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</si>
  <si>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</si>
  <si>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</si>
  <si>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</si>
  <si>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</si>
  <si>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</si>
  <si>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</si>
  <si>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</si>
  <si>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</si>
  <si>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</si>
  <si>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</si>
  <si>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</si>
  <si>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</si>
  <si>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</si>
  <si>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</si>
  <si>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</si>
  <si>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</si>
  <si>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</si>
  <si>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</si>
  <si>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</si>
  <si>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</si>
  <si>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</si>
  <si>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</si>
  <si>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</si>
  <si>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</si>
  <si>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</si>
  <si>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</si>
  <si>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</si>
  <si>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</si>
  <si>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</si>
  <si>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</si>
  <si>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</si>
  <si>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</si>
  <si>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</si>
  <si>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</si>
  <si>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</si>
  <si>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</si>
  <si>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</si>
  <si>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</si>
  <si>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</si>
  <si>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</si>
  <si>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</si>
  <si>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</si>
  <si>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</si>
  <si>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</si>
  <si>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</si>
  <si>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</si>
  <si>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</si>
  <si>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</si>
  <si>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</si>
  <si>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</si>
  <si>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</si>
  <si>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</si>
  <si>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</si>
  <si>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</si>
  <si>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</si>
  <si>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</si>
  <si>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</si>
  <si>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</si>
  <si>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</si>
  <si>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</si>
  <si>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</si>
  <si>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</si>
  <si>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</si>
  <si>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</si>
  <si>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</si>
  <si>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</si>
  <si>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</si>
  <si>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</si>
  <si>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</si>
  <si>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</si>
  <si>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</si>
  <si>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</si>
  <si>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</si>
  <si>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</si>
  <si>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</si>
  <si>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</si>
  <si>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</si>
  <si>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</si>
  <si>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</si>
  <si>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</si>
  <si>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</si>
  <si>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</si>
  <si>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</si>
  <si>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</si>
  <si>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</si>
  <si>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</si>
  <si>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</si>
  <si>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</si>
  <si>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</si>
  <si>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</si>
  <si>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</si>
  <si>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</si>
  <si>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</si>
  <si>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</si>
  <si>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</si>
  <si>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</si>
  <si>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</si>
  <si>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</si>
  <si>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</si>
  <si>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</si>
  <si>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</si>
  <si>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</si>
  <si>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</si>
  <si>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</si>
  <si>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</si>
  <si>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</si>
  <si>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</si>
  <si>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</si>
  <si>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</si>
  <si>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</si>
  <si>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</si>
  <si>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</si>
  <si>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</si>
  <si>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</si>
  <si>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</si>
  <si>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</si>
  <si>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</si>
  <si>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</si>
  <si>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</si>
  <si>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</si>
  <si>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</si>
  <si>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</si>
  <si>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</si>
  <si>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</si>
  <si>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</si>
  <si>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</si>
  <si>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</si>
  <si>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</si>
  <si>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</si>
  <si>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</si>
  <si>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</si>
  <si>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</si>
  <si>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</si>
  <si>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</si>
  <si>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</si>
  <si>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</si>
  <si>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</si>
  <si>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</si>
  <si>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</si>
  <si>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</si>
  <si>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</si>
  <si>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</si>
  <si>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</si>
  <si>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</si>
  <si>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</si>
  <si>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</si>
  <si>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</si>
  <si>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</si>
  <si>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</si>
  <si>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</si>
  <si>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</si>
  <si>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</si>
  <si>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</si>
  <si>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</si>
  <si>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</si>
  <si>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</si>
  <si>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</si>
  <si>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</si>
  <si>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</si>
  <si>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</si>
  <si>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</si>
  <si>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</si>
  <si>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</si>
  <si>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</si>
  <si>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</si>
  <si>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</si>
  <si>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</si>
  <si>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</si>
  <si>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</si>
  <si>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</si>
  <si>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</si>
  <si>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</si>
  <si>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</si>
  <si>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</si>
  <si>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</si>
  <si>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</si>
  <si>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</si>
  <si>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</si>
  <si>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</si>
  <si>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</si>
  <si>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</si>
  <si>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</si>
  <si>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</si>
  <si>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</si>
  <si>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</si>
  <si>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</si>
  <si>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</si>
  <si>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</si>
  <si>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</si>
  <si>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</si>
  <si>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</si>
  <si>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</si>
  <si>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</si>
  <si>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</si>
  <si>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</si>
  <si>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</si>
  <si>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</si>
  <si>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</si>
  <si>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</si>
  <si>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</si>
  <si>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</si>
  <si>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</si>
  <si>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</si>
  <si>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</si>
  <si>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</si>
  <si>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</si>
  <si>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</si>
  <si>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</si>
  <si>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</si>
  <si>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</si>
  <si>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</si>
  <si>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</si>
  <si>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</si>
  <si>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</si>
  <si>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</si>
  <si>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</si>
  <si>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</si>
  <si>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</si>
  <si>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</si>
  <si>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</si>
  <si>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</si>
  <si>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</si>
  <si>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</si>
  <si>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</si>
  <si>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</si>
  <si>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</si>
  <si>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</si>
  <si>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</si>
  <si>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</si>
  <si>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</si>
  <si>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</si>
  <si>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</si>
  <si>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</si>
  <si>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</si>
  <si>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</si>
  <si>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</si>
  <si>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</si>
  <si>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</si>
  <si>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</si>
  <si>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</si>
  <si>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</si>
  <si>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</si>
  <si>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</si>
  <si>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</si>
  <si>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</si>
  <si>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</si>
  <si>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</si>
  <si>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</si>
  <si>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</si>
  <si>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</si>
  <si>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</si>
  <si>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</si>
  <si>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</si>
  <si>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</si>
  <si>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</si>
  <si>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</si>
  <si>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</si>
  <si>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</si>
  <si>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</si>
  <si>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</si>
  <si>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</si>
  <si>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</si>
  <si>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</si>
  <si>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</si>
  <si>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</si>
  <si>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</si>
  <si>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</si>
  <si>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</si>
  <si>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</si>
  <si>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</si>
  <si>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</si>
  <si>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</si>
  <si>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</si>
  <si>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</si>
  <si>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</si>
  <si>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</si>
  <si>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</si>
  <si>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</si>
  <si>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</si>
  <si>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</si>
  <si>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</si>
  <si>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</si>
  <si>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</si>
  <si>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</si>
  <si>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</si>
  <si>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</si>
  <si>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</si>
  <si>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</si>
  <si>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</si>
  <si>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</si>
  <si>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</si>
  <si>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</si>
  <si>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</si>
  <si>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</si>
  <si>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</si>
  <si>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</si>
  <si>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</si>
  <si>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</si>
  <si>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</si>
  <si>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</si>
  <si>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</si>
  <si>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</si>
  <si>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</si>
  <si>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</si>
  <si>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</si>
  <si>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</si>
  <si>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</si>
  <si>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</si>
  <si>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</si>
  <si>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</si>
  <si>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</si>
  <si>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</si>
  <si>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</si>
  <si>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</si>
  <si>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</si>
  <si>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</si>
  <si>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</si>
  <si>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</si>
  <si>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</si>
  <si>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</si>
  <si>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</si>
  <si>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</si>
  <si>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</si>
  <si>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</si>
  <si>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</si>
  <si>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</si>
  <si>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</si>
  <si>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</si>
  <si>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</si>
  <si>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</si>
  <si>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</si>
  <si>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</si>
  <si>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</si>
  <si>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</si>
  <si>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</si>
  <si>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</si>
  <si>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</si>
  <si>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</si>
  <si>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</si>
  <si>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</si>
  <si>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</si>
  <si>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</si>
  <si>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</si>
  <si>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</si>
  <si>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</si>
  <si>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</si>
  <si>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</si>
  <si>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</si>
  <si>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</si>
  <si>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</si>
  <si>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</si>
  <si>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</si>
  <si>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</si>
  <si>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</si>
  <si>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</si>
  <si>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</si>
  <si>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</si>
  <si>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</si>
  <si>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</si>
  <si>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</si>
  <si>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</si>
  <si>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</si>
  <si>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</si>
  <si>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</si>
  <si>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</si>
  <si>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</si>
  <si>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</si>
  <si>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</si>
  <si>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</si>
  <si>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</si>
  <si>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</si>
  <si>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</si>
  <si>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</si>
  <si>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</si>
  <si>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</si>
  <si>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</si>
  <si>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</si>
  <si>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</si>
  <si>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</si>
  <si>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</si>
  <si>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</si>
  <si>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</si>
  <si>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</si>
  <si>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</si>
  <si>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</si>
  <si>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</si>
  <si>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</si>
  <si>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</si>
  <si>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</si>
  <si>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</si>
  <si>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</si>
  <si>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</si>
  <si>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</si>
  <si>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</si>
  <si>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</si>
  <si>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</si>
  <si>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</si>
  <si>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</si>
  <si>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</si>
  <si>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</si>
  <si>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</si>
  <si>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</si>
  <si>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</si>
  <si>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</si>
  <si>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</si>
  <si>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</si>
  <si>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</si>
  <si>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</si>
  <si>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</si>
  <si>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</si>
  <si>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</si>
  <si>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</si>
  <si>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</si>
  <si>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</si>
  <si>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</si>
  <si>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</si>
  <si>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</si>
  <si>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</si>
  <si>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</si>
  <si>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</si>
  <si>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</si>
  <si>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</si>
  <si>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</si>
  <si>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</si>
  <si>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</si>
  <si>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</si>
  <si>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</si>
  <si>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</si>
  <si>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</si>
  <si>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</si>
  <si>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</si>
  <si>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</si>
  <si>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</si>
  <si>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</si>
  <si>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</si>
  <si>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</si>
  <si>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</si>
  <si>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</si>
  <si>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</si>
  <si>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</si>
  <si>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</si>
  <si>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</si>
  <si>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</si>
  <si>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</si>
  <si>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</si>
  <si>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</si>
  <si>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</si>
  <si>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</si>
  <si>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</si>
  <si>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</si>
  <si>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</si>
  <si>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</si>
  <si>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</si>
  <si>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</si>
  <si>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</si>
  <si>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</si>
  <si>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</si>
  <si>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</si>
  <si>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</si>
  <si>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</si>
  <si>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</si>
  <si>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</si>
  <si>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</si>
  <si>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</si>
  <si>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</si>
  <si>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</si>
  <si>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</si>
  <si>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</si>
  <si>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</si>
  <si>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</si>
  <si>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</si>
  <si>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</si>
  <si>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</si>
  <si>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</si>
  <si>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</si>
  <si>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</si>
  <si>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</si>
  <si>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</si>
  <si>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</si>
  <si>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</si>
  <si>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</si>
  <si>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</si>
  <si>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</si>
  <si>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</si>
  <si>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</si>
  <si>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</si>
  <si>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</si>
  <si>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</si>
  <si>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</si>
  <si>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</si>
  <si>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</si>
  <si>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</si>
  <si>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</si>
  <si>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</si>
  <si>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</si>
  <si>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</si>
  <si>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</si>
  <si>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</si>
  <si>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</si>
  <si>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</si>
  <si>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</si>
  <si>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</si>
  <si>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</si>
  <si>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</si>
  <si>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</si>
  <si>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</si>
  <si>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</si>
  <si>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</si>
  <si>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</si>
  <si>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</si>
  <si>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</si>
  <si>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</si>
  <si>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</si>
  <si>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</si>
  <si>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</si>
  <si>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</si>
  <si>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</si>
  <si>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</si>
  <si>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</si>
  <si>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</si>
  <si>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</si>
  <si>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</si>
  <si>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</si>
  <si>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</si>
  <si>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</si>
  <si>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</si>
  <si>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</si>
  <si>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</si>
  <si>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</si>
  <si>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</si>
  <si>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</si>
  <si>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</si>
  <si>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</si>
  <si>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</si>
  <si>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</si>
  <si>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</si>
  <si>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</si>
  <si>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</si>
  <si>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</si>
  <si>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</si>
  <si>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</si>
  <si>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</si>
  <si>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</si>
  <si>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</si>
  <si>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</si>
  <si>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</si>
  <si>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</si>
  <si>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</si>
  <si>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</si>
  <si>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</si>
  <si>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</si>
  <si>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</si>
  <si>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</si>
  <si>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</si>
  <si>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</si>
  <si>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</si>
  <si>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</si>
  <si>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</si>
  <si>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</si>
  <si>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</si>
  <si>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</si>
  <si>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</si>
  <si>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</si>
  <si>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</si>
  <si>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</si>
  <si>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</si>
  <si>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</si>
  <si>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</si>
  <si>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</si>
  <si>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</si>
  <si>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</si>
  <si>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</si>
  <si>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</si>
  <si>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</si>
  <si>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</si>
  <si>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</si>
  <si>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</si>
  <si>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</si>
  <si>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</si>
  <si>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</si>
  <si>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</si>
  <si>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</si>
  <si>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</si>
  <si>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</si>
  <si>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</si>
  <si>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</si>
  <si>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</si>
  <si>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</si>
  <si>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</si>
  <si>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</si>
  <si>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</si>
  <si>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</si>
  <si>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</si>
  <si>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</si>
  <si>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</si>
  <si>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</si>
  <si>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</si>
  <si>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</si>
  <si>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</si>
  <si>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</si>
  <si>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</si>
  <si>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</si>
  <si>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</si>
  <si>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</si>
  <si>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</si>
  <si>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</si>
  <si>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</si>
  <si>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</si>
  <si>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</si>
  <si>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</si>
  <si>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</si>
  <si>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</si>
  <si>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</si>
  <si>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</si>
  <si>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</si>
  <si>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</si>
  <si>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</si>
  <si>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</si>
  <si>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</si>
  <si>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</si>
  <si>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</si>
  <si>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</si>
  <si>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</si>
  <si>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</si>
  <si>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</si>
  <si>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</si>
  <si>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</si>
  <si>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</si>
  <si>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</si>
  <si>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</si>
  <si>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</si>
  <si>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</si>
  <si>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</si>
  <si>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</si>
  <si>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</si>
  <si>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</si>
  <si>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</si>
  <si>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</si>
  <si>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</si>
  <si>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</si>
  <si>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</si>
  <si>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</si>
  <si>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</si>
  <si>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</si>
  <si>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</si>
  <si>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</si>
  <si>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</si>
  <si>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</si>
  <si>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</si>
  <si>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</si>
  <si>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</si>
  <si>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</si>
  <si>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</si>
  <si>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</si>
  <si>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</si>
  <si>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</si>
  <si>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</si>
  <si>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</si>
  <si>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</si>
  <si>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</si>
  <si>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</si>
  <si>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</si>
  <si>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</si>
  <si>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</si>
  <si>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</si>
  <si>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</si>
  <si>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</si>
  <si>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</si>
  <si>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</si>
  <si>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</si>
  <si>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</si>
  <si>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</si>
  <si>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</si>
  <si>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</si>
  <si>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</si>
  <si>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</si>
  <si>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</si>
  <si>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</si>
  <si>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</si>
  <si>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</si>
  <si>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</si>
  <si>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</si>
  <si>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</si>
  <si>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</si>
  <si>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</si>
  <si>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</si>
  <si>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</si>
  <si>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</si>
  <si>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</si>
  <si>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</si>
  <si>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</si>
  <si>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</si>
  <si>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</si>
  <si>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</si>
  <si>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</si>
  <si>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</si>
  <si>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</si>
  <si>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</si>
  <si>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</si>
  <si>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</si>
  <si>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</si>
  <si>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</si>
  <si>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</si>
  <si>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</si>
  <si>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</si>
  <si>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</si>
  <si>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</si>
  <si>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</si>
  <si>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</si>
  <si>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</si>
  <si>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</si>
  <si>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</si>
  <si>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</si>
  <si>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</si>
  <si>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</si>
  <si>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</si>
  <si>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</si>
  <si>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</si>
  <si>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</si>
  <si>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</si>
  <si>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</si>
  <si>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</si>
  <si>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</si>
  <si>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</si>
  <si>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</si>
  <si>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</si>
  <si>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</si>
  <si>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</si>
  <si>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</si>
  <si>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</si>
  <si>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</si>
  <si>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</si>
  <si>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</si>
  <si>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</si>
  <si>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</si>
  <si>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</si>
  <si>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</si>
  <si>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</si>
  <si>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</si>
  <si>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</si>
  <si>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</si>
  <si>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</si>
  <si>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</si>
  <si>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</si>
  <si>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</si>
  <si>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</si>
  <si>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</si>
  <si>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</si>
  <si>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</si>
  <si>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</si>
  <si>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</si>
  <si>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</si>
  <si>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</si>
  <si>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</si>
  <si>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</si>
  <si>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</si>
  <si>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</si>
  <si>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</si>
  <si>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</si>
  <si>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</si>
  <si>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</si>
  <si>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</si>
  <si>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</si>
  <si>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</si>
  <si>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</si>
  <si>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</si>
  <si>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</si>
  <si>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</si>
  <si>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</si>
  <si>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</si>
  <si>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</si>
  <si>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</si>
  <si>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</si>
  <si>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</si>
  <si>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</si>
  <si>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</si>
  <si>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</si>
  <si>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</si>
  <si>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</si>
  <si>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</si>
  <si>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</si>
  <si>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</si>
  <si>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</si>
  <si>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</si>
  <si>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</si>
  <si>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</si>
  <si>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</si>
  <si>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</si>
  <si>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</si>
  <si>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</si>
  <si>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</si>
  <si>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</si>
  <si>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</si>
  <si>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</si>
  <si>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</si>
  <si>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</si>
  <si>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</si>
  <si>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</si>
  <si>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</si>
  <si>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</si>
  <si>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</si>
  <si>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</si>
  <si>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</si>
  <si>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</si>
  <si>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</si>
  <si>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</si>
  <si>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</si>
  <si>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</si>
  <si>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</si>
  <si>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</si>
  <si>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</si>
  <si>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</si>
  <si>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</si>
  <si>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</si>
  <si>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</si>
  <si>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</si>
  <si>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</si>
  <si>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</si>
  <si>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</si>
  <si>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</si>
  <si>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</si>
  <si>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</si>
  <si>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</si>
  <si>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</si>
  <si>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</si>
  <si>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</si>
  <si>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</si>
  <si>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</si>
  <si>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</si>
  <si>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</si>
  <si>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</si>
  <si>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</si>
  <si>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</si>
  <si>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</si>
  <si>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</si>
  <si>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</si>
  <si>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</si>
  <si>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</si>
  <si>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</si>
  <si>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</si>
  <si>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</si>
  <si>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</si>
  <si>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</si>
  <si>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</si>
  <si>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</si>
  <si>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</si>
  <si>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</si>
  <si>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</si>
  <si>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</si>
  <si>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</si>
  <si>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</si>
  <si>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</si>
  <si>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</si>
  <si>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</si>
  <si>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</si>
  <si>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</si>
  <si>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</si>
  <si>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</si>
  <si>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</si>
  <si>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</si>
  <si>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</si>
  <si>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</si>
  <si>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</si>
  <si>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</si>
  <si>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</si>
  <si>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</si>
  <si>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</si>
  <si>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</si>
  <si>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</si>
  <si>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</si>
  <si>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</si>
  <si>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</si>
  <si>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</si>
  <si>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</si>
  <si>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</si>
  <si>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</si>
  <si>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</si>
  <si>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</si>
  <si>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</si>
  <si>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</si>
  <si>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</si>
  <si>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</si>
  <si>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</si>
  <si>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</si>
  <si>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</si>
  <si>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</si>
  <si>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</si>
  <si>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</si>
  <si>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</si>
  <si>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</si>
  <si>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</si>
  <si>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</si>
  <si>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</si>
  <si>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</si>
  <si>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</si>
  <si>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</si>
  <si>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</si>
  <si>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</si>
  <si>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</si>
  <si>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</si>
  <si>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</si>
  <si>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</si>
  <si>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</si>
  <si>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</si>
  <si>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</si>
  <si>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</si>
  <si>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</si>
  <si>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</si>
  <si>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</si>
  <si>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</si>
  <si>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</si>
  <si>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</si>
  <si>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</si>
  <si>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</si>
  <si>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</si>
  <si>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</si>
  <si>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</si>
  <si>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</si>
  <si>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</si>
  <si>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</si>
  <si>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</si>
  <si>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</si>
  <si>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</si>
  <si>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</si>
  <si>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</si>
  <si>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</si>
  <si>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</si>
  <si>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</si>
  <si>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</si>
  <si>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</si>
  <si>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</si>
  <si>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</si>
  <si>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</si>
  <si>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</si>
  <si>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</si>
  <si>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</si>
  <si>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</si>
  <si>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</si>
  <si>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</si>
  <si>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</si>
  <si>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</si>
  <si>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</si>
  <si>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</si>
  <si>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</si>
  <si>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</si>
  <si>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</si>
  <si>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</si>
  <si>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</si>
  <si>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</si>
  <si>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</si>
  <si>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</si>
  <si>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</si>
  <si>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</si>
  <si>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</si>
  <si>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</si>
  <si>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</si>
  <si>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</si>
  <si>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</si>
  <si>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</si>
  <si>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</si>
  <si>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</si>
  <si>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</si>
  <si>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</si>
  <si>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</si>
  <si>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</si>
  <si>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</si>
  <si>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</si>
  <si>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</si>
  <si>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</si>
  <si>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</si>
  <si>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</si>
  <si>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</si>
  <si>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</si>
  <si>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</si>
  <si>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</si>
  <si>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</si>
  <si>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</si>
  <si>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</si>
  <si>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</si>
  <si>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</si>
  <si>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</si>
  <si>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</si>
  <si>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</si>
  <si>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</si>
  <si>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</si>
  <si>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</si>
  <si>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</si>
  <si>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</si>
  <si>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</si>
  <si>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</si>
  <si>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</si>
  <si>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</si>
  <si>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</si>
  <si>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</si>
  <si>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</si>
  <si>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</si>
  <si>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</si>
  <si>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</si>
  <si>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</si>
  <si>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</si>
  <si>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</si>
  <si>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</si>
  <si>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</si>
  <si>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</si>
  <si>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</si>
  <si>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</si>
  <si>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</si>
  <si>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</si>
  <si>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</si>
  <si>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</si>
  <si>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</si>
  <si>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</si>
  <si>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</si>
  <si>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</si>
  <si>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</si>
  <si>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</si>
  <si>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</si>
  <si>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</si>
  <si>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</si>
  <si>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</si>
  <si>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</si>
  <si>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</si>
  <si>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</si>
  <si>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</si>
  <si>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</si>
  <si>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</si>
  <si>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</si>
  <si>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</si>
  <si>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</si>
  <si>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</si>
  <si>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</si>
  <si>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</si>
  <si>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</si>
  <si>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</si>
  <si>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</si>
  <si>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</si>
  <si>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</si>
  <si>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</si>
  <si>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</si>
  <si>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</si>
  <si>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</si>
  <si>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</si>
  <si>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</si>
  <si>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</si>
  <si>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</si>
  <si>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</si>
  <si>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</si>
  <si>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</si>
  <si>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</si>
  <si>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</si>
  <si>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</si>
  <si>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</si>
  <si>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</si>
  <si>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</si>
  <si>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</si>
  <si>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</si>
  <si>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</si>
  <si>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</si>
  <si>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</si>
  <si>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</si>
  <si>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</si>
  <si>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</si>
  <si>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</si>
  <si>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</si>
  <si>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</si>
  <si>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</si>
  <si>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</si>
  <si>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</si>
  <si>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</si>
  <si>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</si>
  <si>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</si>
  <si>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</si>
  <si>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</si>
  <si>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</si>
  <si>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</si>
  <si>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</si>
  <si>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</si>
  <si>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</si>
  <si>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</si>
  <si>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</si>
  <si>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</si>
  <si>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</si>
  <si>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</si>
  <si>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</si>
  <si>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</si>
  <si>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</si>
  <si>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</si>
  <si>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</si>
  <si>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</si>
  <si>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</si>
  <si>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</si>
  <si>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</si>
  <si>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</si>
  <si>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</si>
  <si>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</si>
  <si>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</si>
  <si>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</si>
  <si>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</si>
  <si>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</si>
  <si>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</si>
  <si>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</si>
  <si>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</si>
  <si>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</si>
  <si>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</si>
  <si>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</si>
  <si>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</si>
  <si>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</si>
  <si>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</si>
  <si>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</si>
  <si>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</si>
  <si>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</si>
  <si>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</si>
  <si>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</si>
  <si>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</si>
  <si>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</si>
  <si>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</si>
  <si>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</si>
  <si>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</si>
  <si>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</si>
  <si>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</si>
  <si>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</si>
  <si>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</si>
  <si>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</si>
  <si>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</si>
  <si>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</si>
  <si>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</si>
  <si>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</si>
  <si>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</si>
  <si>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</si>
  <si>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</si>
  <si>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</si>
  <si>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</si>
  <si>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</si>
  <si>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</si>
  <si>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</si>
  <si>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</si>
  <si>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</si>
  <si>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</si>
  <si>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</si>
  <si>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</si>
  <si>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</si>
  <si>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</si>
  <si>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</si>
  <si>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</si>
  <si>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</si>
  <si>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</si>
  <si>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</si>
  <si>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</si>
  <si>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</si>
  <si>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</si>
  <si>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</si>
  <si>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</si>
  <si>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</si>
  <si>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</si>
  <si>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</si>
  <si>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</si>
  <si>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</si>
  <si>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</si>
  <si>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</si>
  <si>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</si>
  <si>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</si>
  <si>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</si>
  <si>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</si>
  <si>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</si>
  <si>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</si>
  <si>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</si>
  <si>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</si>
  <si>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</si>
  <si>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</si>
  <si>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</si>
  <si>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</si>
  <si>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</si>
  <si>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</si>
  <si>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</si>
  <si>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</si>
  <si>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</si>
  <si>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</si>
  <si>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</si>
  <si>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</si>
  <si>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</si>
  <si>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</si>
  <si>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</si>
  <si>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</si>
  <si>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</si>
  <si>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</si>
  <si>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</si>
  <si>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</si>
  <si>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</si>
  <si>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</si>
  <si>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</si>
  <si>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</si>
  <si>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</si>
  <si>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</si>
  <si>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</si>
  <si>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</si>
  <si>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</si>
  <si>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</si>
  <si>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</si>
  <si>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</si>
  <si>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</si>
  <si>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</si>
  <si>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</si>
  <si>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</si>
  <si>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</si>
  <si>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</si>
  <si>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</si>
  <si>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</si>
  <si>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</si>
  <si>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</si>
  <si>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</si>
  <si>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</si>
  <si>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</si>
  <si>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</si>
  <si>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</si>
  <si>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</si>
  <si>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</si>
  <si>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</si>
  <si>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</si>
  <si>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</si>
  <si>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</si>
  <si>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</si>
  <si>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</si>
  <si>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</si>
  <si>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</si>
  <si>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</si>
  <si>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</si>
  <si>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</si>
  <si>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</si>
  <si>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</si>
  <si>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</si>
  <si>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</si>
  <si>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</si>
  <si>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</si>
  <si>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</si>
  <si>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</si>
  <si>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</si>
  <si>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</si>
  <si>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</si>
  <si>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</si>
  <si>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</si>
  <si>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</si>
  <si>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</si>
  <si>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</si>
  <si>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</si>
  <si>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</si>
  <si>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</si>
  <si>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</si>
  <si>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</si>
  <si>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</si>
  <si>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</si>
  <si>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</si>
  <si>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</si>
  <si>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</si>
  <si>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</si>
  <si>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</si>
  <si>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</si>
  <si>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</si>
  <si>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</si>
  <si>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</si>
  <si>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</si>
  <si>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</si>
  <si>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</si>
  <si>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</si>
  <si>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</si>
  <si>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</si>
  <si>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</si>
  <si>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</si>
  <si>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</si>
  <si>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</si>
  <si>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</si>
  <si>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</si>
  <si>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</si>
  <si>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</si>
  <si>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</si>
  <si>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</si>
  <si>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</si>
  <si>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</si>
  <si>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</si>
  <si>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</si>
  <si>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</si>
  <si>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</si>
  <si>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</si>
  <si>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</si>
  <si>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</si>
  <si>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</si>
  <si>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</si>
  <si>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</si>
  <si>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</si>
  <si>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</si>
  <si>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</si>
  <si>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</si>
  <si>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</si>
  <si>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</si>
  <si>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</si>
  <si>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</si>
  <si>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</si>
  <si>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</si>
  <si>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</si>
  <si>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</si>
  <si>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</si>
  <si>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</si>
  <si>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</si>
  <si>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</si>
  <si>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</si>
  <si>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</si>
  <si>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</si>
  <si>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</si>
  <si>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</si>
  <si>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</si>
  <si>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</si>
  <si>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</si>
  <si>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</si>
  <si>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</si>
  <si>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</si>
  <si>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</si>
  <si>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</si>
  <si>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</si>
  <si>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</si>
  <si>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</si>
  <si>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</si>
  <si>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</si>
  <si>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</si>
  <si>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</si>
  <si>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</si>
  <si>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</si>
  <si>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</si>
  <si>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</si>
  <si>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</si>
  <si>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</si>
  <si>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</si>
  <si>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</si>
  <si>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</si>
  <si>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</si>
  <si>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</si>
  <si>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</si>
  <si>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</si>
  <si>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</si>
  <si>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</si>
  <si>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</si>
  <si>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</si>
  <si>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</si>
  <si>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</si>
  <si>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</si>
  <si>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</si>
  <si>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</si>
  <si>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</si>
  <si>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</si>
  <si>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</si>
  <si>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</si>
  <si>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</si>
  <si>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</si>
  <si>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</si>
  <si>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</si>
  <si>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</si>
  <si>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</si>
  <si>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</si>
  <si>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</si>
  <si>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</si>
  <si>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</si>
  <si>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</si>
  <si>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</si>
  <si>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</si>
  <si>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</si>
  <si>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</si>
  <si>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</si>
  <si>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</si>
  <si>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</si>
  <si>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</si>
  <si>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</si>
  <si>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</si>
  <si>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</si>
  <si>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</si>
  <si>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</si>
  <si>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</si>
  <si>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</si>
  <si>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</si>
  <si>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</si>
  <si>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</si>
  <si>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</si>
  <si>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</si>
  <si>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</si>
  <si>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</si>
  <si>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</si>
  <si>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</si>
  <si>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</si>
  <si>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</si>
  <si>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</si>
  <si>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</si>
  <si>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</si>
  <si>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</si>
  <si>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</si>
  <si>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</si>
  <si>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</si>
  <si>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</si>
  <si>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</si>
  <si>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</si>
  <si>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</si>
  <si>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</si>
  <si>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</si>
  <si>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</si>
  <si>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</si>
  <si>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</si>
  <si>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</si>
  <si>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</si>
  <si>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</si>
  <si>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</si>
  <si>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</si>
  <si>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</si>
  <si>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</si>
  <si>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</si>
  <si>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</si>
  <si>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</si>
  <si>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</si>
  <si>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</si>
  <si>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</si>
  <si>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</si>
  <si>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</si>
  <si>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</si>
  <si>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</si>
  <si>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</si>
  <si>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</si>
  <si>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</si>
  <si>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</si>
  <si>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</si>
  <si>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</si>
  <si>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</si>
  <si>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</si>
  <si>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</si>
  <si>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</si>
  <si>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</si>
  <si>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</si>
  <si>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</si>
  <si>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</si>
  <si>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</si>
  <si>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</si>
  <si>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</si>
  <si>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</si>
  <si>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</si>
  <si>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</si>
  <si>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</si>
  <si>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</si>
  <si>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</si>
  <si>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</si>
  <si>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</si>
  <si>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</si>
  <si>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</si>
  <si>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</si>
  <si>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</si>
  <si>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</si>
  <si>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</si>
  <si>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</si>
  <si>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</si>
  <si>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</si>
  <si>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</si>
  <si>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</si>
  <si>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</si>
  <si>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</si>
  <si>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</si>
  <si>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</si>
  <si>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</si>
  <si>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</si>
  <si>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</si>
  <si>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</si>
  <si>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</si>
  <si>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</si>
  <si>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</si>
  <si>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</si>
  <si>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</si>
  <si>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</si>
  <si>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</si>
  <si>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</si>
  <si>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</si>
  <si>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</si>
  <si>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</si>
  <si>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</si>
  <si>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</si>
  <si>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</si>
  <si>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</si>
  <si>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</si>
  <si>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</si>
  <si>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</si>
  <si>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</si>
  <si>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</si>
  <si>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</si>
  <si>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</si>
  <si>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</si>
  <si>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</si>
  <si>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</si>
  <si>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</si>
  <si>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</si>
  <si>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</si>
  <si>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</si>
  <si>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</si>
  <si>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</si>
  <si>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</si>
  <si>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</si>
  <si>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</si>
  <si>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</si>
  <si>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</si>
  <si>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</si>
  <si>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</si>
  <si>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</si>
  <si>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</si>
  <si>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</si>
  <si>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</si>
  <si>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</si>
  <si>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</si>
  <si>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</si>
  <si>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</si>
  <si>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</si>
  <si>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</si>
  <si>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</si>
  <si>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</si>
  <si>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</si>
  <si>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</si>
  <si>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</si>
  <si>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</si>
  <si>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</si>
  <si>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</si>
  <si>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</si>
  <si>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</si>
  <si>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</si>
  <si>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</si>
  <si>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</si>
  <si>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</si>
  <si>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</si>
  <si>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</si>
  <si>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</si>
  <si>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</si>
  <si>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</si>
  <si>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</si>
  <si>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</si>
  <si>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</si>
  <si>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</si>
  <si>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</si>
  <si>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</si>
  <si>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</si>
  <si>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</si>
  <si>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</si>
  <si>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</si>
  <si>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</si>
  <si>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</si>
  <si>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</si>
  <si>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</si>
  <si>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</si>
  <si>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</si>
  <si>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</si>
  <si>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</si>
  <si>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</si>
  <si>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</si>
  <si>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</si>
  <si>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</si>
  <si>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</si>
  <si>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</si>
  <si>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</si>
  <si>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</si>
  <si>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</si>
  <si>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</si>
  <si>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</si>
  <si>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</si>
  <si>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</si>
  <si>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</si>
  <si>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</si>
  <si>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</si>
  <si>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</si>
  <si>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</si>
  <si>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</si>
  <si>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</si>
  <si>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</si>
  <si>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</si>
  <si>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</si>
  <si>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</si>
  <si>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</si>
  <si>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</si>
  <si>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</si>
  <si>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</si>
  <si>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</si>
  <si>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</si>
  <si>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</si>
  <si>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</si>
  <si>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</si>
  <si>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</si>
  <si>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</si>
  <si>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</si>
  <si>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</si>
  <si>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</si>
  <si>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</si>
  <si>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</si>
  <si>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</si>
  <si>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</si>
  <si>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</si>
  <si>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</si>
  <si>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</si>
  <si>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</si>
  <si>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</si>
  <si>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</si>
  <si>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</si>
  <si>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</si>
  <si>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</si>
  <si>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</si>
  <si>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</si>
  <si>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</si>
  <si>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</si>
  <si>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</si>
  <si>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</si>
  <si>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</si>
  <si>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</si>
  <si>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</si>
  <si>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</si>
  <si>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</si>
  <si>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</si>
  <si>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</si>
  <si>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</si>
  <si>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</si>
  <si>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</si>
  <si>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</si>
  <si>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</si>
  <si>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</si>
  <si>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</si>
  <si>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</si>
  <si>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</si>
  <si>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</si>
  <si>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</si>
  <si>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</si>
  <si>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</si>
  <si>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</si>
  <si>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</si>
  <si>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</si>
  <si>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</si>
  <si>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</si>
  <si>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</si>
  <si>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</si>
  <si>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</si>
  <si>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</si>
  <si>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</si>
  <si>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</si>
  <si>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</si>
  <si>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</si>
  <si>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</si>
  <si>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</si>
  <si>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</si>
  <si>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</si>
  <si>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</si>
  <si>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</si>
  <si>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</si>
  <si>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</si>
  <si>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</si>
  <si>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</si>
  <si>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</si>
  <si>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</si>
  <si>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</si>
  <si>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</si>
  <si>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</si>
  <si>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</si>
  <si>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</si>
  <si>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</si>
  <si>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</si>
  <si>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</si>
  <si>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</si>
  <si>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</si>
  <si>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</si>
  <si>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</si>
  <si>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</si>
  <si>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</si>
  <si>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</si>
  <si>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</si>
  <si>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</si>
  <si>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</si>
  <si>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</si>
  <si>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</si>
  <si>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</si>
  <si>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</si>
  <si>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</si>
  <si>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</si>
  <si>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</si>
  <si>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</si>
  <si>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</si>
  <si>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</si>
  <si>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</si>
  <si>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</si>
  <si>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</si>
  <si>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</si>
  <si>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</si>
  <si>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</si>
  <si>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</si>
  <si>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</si>
  <si>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</si>
  <si>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</si>
  <si>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</si>
  <si>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</si>
  <si>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</si>
  <si>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</si>
  <si>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</si>
  <si>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</si>
  <si>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</si>
  <si>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</si>
  <si>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</si>
  <si>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</si>
  <si>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</si>
  <si>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</si>
  <si>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</si>
  <si>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</si>
  <si>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</si>
  <si>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</si>
  <si>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</si>
  <si>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</si>
  <si>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</si>
  <si>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</si>
  <si>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</si>
  <si>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</si>
  <si>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</si>
  <si>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</si>
  <si>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</si>
  <si>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</si>
  <si>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</si>
  <si>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</si>
  <si>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</si>
  <si>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</si>
  <si>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</si>
  <si>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</si>
  <si>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</si>
  <si>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</si>
  <si>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</si>
  <si>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</si>
  <si>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</si>
  <si>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</si>
  <si>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</si>
  <si>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</si>
  <si>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</si>
  <si>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</si>
  <si>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</si>
  <si>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</si>
  <si>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</si>
  <si>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</si>
  <si>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</si>
  <si>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</si>
  <si>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</si>
  <si>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</si>
  <si>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</si>
  <si>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</si>
  <si>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</si>
  <si>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</si>
  <si>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</si>
  <si>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</si>
  <si>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</si>
  <si>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</si>
  <si>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</si>
  <si>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</si>
  <si>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</si>
  <si>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</si>
  <si>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</si>
  <si>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</si>
  <si>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</si>
  <si>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</si>
  <si>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</si>
  <si>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</si>
  <si>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</si>
  <si>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</si>
  <si>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</si>
  <si>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</si>
  <si>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</si>
  <si>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</si>
  <si>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</si>
  <si>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</si>
  <si>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</si>
  <si>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</si>
  <si>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</si>
  <si>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</si>
  <si>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</si>
  <si>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</si>
  <si>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</si>
  <si>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</si>
  <si>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</si>
  <si>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</si>
  <si>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</si>
  <si>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</si>
  <si>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</si>
  <si>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</si>
  <si>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</si>
  <si>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</si>
  <si>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</si>
  <si>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</si>
  <si>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</si>
  <si>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</si>
  <si>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</si>
  <si>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</si>
  <si>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</si>
  <si>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</si>
  <si>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</si>
  <si>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</si>
  <si>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</si>
  <si>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</si>
  <si>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</si>
  <si>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</si>
  <si>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</si>
  <si>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</si>
  <si>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</si>
  <si>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</si>
  <si>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</si>
  <si>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</si>
  <si>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</si>
  <si>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</si>
  <si>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</si>
  <si>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</si>
  <si>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</si>
  <si>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</si>
  <si>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</si>
  <si>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</si>
  <si>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</si>
  <si>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</si>
  <si>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</si>
  <si>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</si>
  <si>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</si>
  <si>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</si>
  <si>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</si>
  <si>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</si>
  <si>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</si>
  <si>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</si>
  <si>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</si>
  <si>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</si>
  <si>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</si>
  <si>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</si>
  <si>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</si>
  <si>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</si>
  <si>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</si>
  <si>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</si>
  <si>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</si>
  <si>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</si>
  <si>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</si>
  <si>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</si>
  <si>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</si>
  <si>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</si>
  <si>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</si>
  <si>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</si>
  <si>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</si>
  <si>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</si>
  <si>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</si>
  <si>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</si>
  <si>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</si>
  <si>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</si>
  <si>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</si>
  <si>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</si>
  <si>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</si>
  <si>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</si>
  <si>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</si>
  <si>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</si>
  <si>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</si>
  <si>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</si>
  <si>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</si>
  <si>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</si>
  <si>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</si>
  <si>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</si>
  <si>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</si>
  <si>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</si>
  <si>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</si>
  <si>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</si>
  <si>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</si>
  <si>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</si>
  <si>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</si>
  <si>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</si>
  <si>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</si>
  <si>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</si>
  <si>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</si>
  <si>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</si>
  <si>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</si>
  <si>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</si>
  <si>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</si>
  <si>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</si>
  <si>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</si>
  <si>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</si>
  <si>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</si>
  <si>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</si>
  <si>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</si>
  <si>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</si>
  <si>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</si>
  <si>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</si>
  <si>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</si>
  <si>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</si>
  <si>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</si>
  <si>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</si>
  <si>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</si>
  <si>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</si>
  <si>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</si>
  <si>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</si>
  <si>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</si>
  <si>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</si>
  <si>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</si>
  <si>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</si>
  <si>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</si>
  <si>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</si>
  <si>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</si>
  <si>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</si>
  <si>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</si>
  <si>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</si>
  <si>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</si>
  <si>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</si>
  <si>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</si>
  <si>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</si>
  <si>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</si>
  <si>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</si>
  <si>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</si>
  <si>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</si>
  <si>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</si>
  <si>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</si>
  <si>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</si>
  <si>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</si>
  <si>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</si>
  <si>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</si>
  <si>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</si>
  <si>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</si>
  <si>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</si>
  <si>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</si>
  <si>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</si>
  <si>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</si>
  <si>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</si>
  <si>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</si>
  <si>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</si>
  <si>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</si>
  <si>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</si>
  <si>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</si>
  <si>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</si>
  <si>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</si>
  <si>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</si>
  <si>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</si>
  <si>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</si>
  <si>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</si>
  <si>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</si>
  <si>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</si>
  <si>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</si>
  <si>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</si>
  <si>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</si>
  <si>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</si>
  <si>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</si>
  <si>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</si>
  <si>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</si>
  <si>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</si>
  <si>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</si>
  <si>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</si>
  <si>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</si>
  <si>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</si>
  <si>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</si>
  <si>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</si>
  <si>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</si>
  <si>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</si>
  <si>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</si>
  <si>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</si>
  <si>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</si>
  <si>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</si>
  <si>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</si>
  <si>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</si>
  <si>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</si>
  <si>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</si>
  <si>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</si>
  <si>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</si>
  <si>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</si>
  <si>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</si>
  <si>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</si>
  <si>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</si>
  <si>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</si>
  <si>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</si>
  <si>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</si>
  <si>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</si>
  <si>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</si>
  <si>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</si>
  <si>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</si>
  <si>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</si>
  <si>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</si>
  <si>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</si>
  <si>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</si>
  <si>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</si>
  <si>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</si>
  <si>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</si>
  <si>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</si>
  <si>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</si>
  <si>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</si>
  <si>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</si>
  <si>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</si>
  <si>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</si>
  <si>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</si>
  <si>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</si>
  <si>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</si>
  <si>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</si>
  <si>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</si>
  <si>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</si>
  <si>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</si>
  <si>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</si>
  <si>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</si>
  <si>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</si>
  <si>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</si>
  <si>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</si>
  <si>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</si>
  <si>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</si>
  <si>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</si>
  <si>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</si>
  <si>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</si>
  <si>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</si>
  <si>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</si>
  <si>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</si>
  <si>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</si>
  <si>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</si>
  <si>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</si>
  <si>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</si>
  <si>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</si>
  <si>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</si>
  <si>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</si>
  <si>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</si>
  <si>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</si>
  <si>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</si>
  <si>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</si>
  <si>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</si>
  <si>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</si>
  <si>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</si>
  <si>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</si>
  <si>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</si>
  <si>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</si>
  <si>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</si>
  <si>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</si>
  <si>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</si>
  <si>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</si>
  <si>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</si>
  <si>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</si>
  <si>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</si>
  <si>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</si>
  <si>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</si>
  <si>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</si>
  <si>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</si>
  <si>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</si>
  <si>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</si>
  <si>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</si>
  <si>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</si>
  <si>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</si>
  <si>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</si>
  <si>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</si>
  <si>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</si>
  <si>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</si>
  <si>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</si>
  <si>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</si>
  <si>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</si>
  <si>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</si>
  <si>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</si>
  <si>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</si>
  <si>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</si>
  <si>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</si>
  <si>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</si>
  <si>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</si>
  <si>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</si>
  <si>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</si>
  <si>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</si>
  <si>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</si>
  <si>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</si>
  <si>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</si>
  <si>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</si>
  <si>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</si>
  <si>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</si>
  <si>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</si>
  <si>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</si>
  <si>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</si>
  <si>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</si>
  <si>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</si>
  <si>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</si>
  <si>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</si>
  <si>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</si>
  <si>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</si>
  <si>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</si>
  <si>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</si>
  <si>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</si>
  <si>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</si>
  <si>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</si>
  <si>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</si>
  <si>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</si>
  <si>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</si>
  <si>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</si>
  <si>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</si>
  <si>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</si>
  <si>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</si>
  <si>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</si>
  <si>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</si>
  <si>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</si>
  <si>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</si>
  <si>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</si>
  <si>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</si>
  <si>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</si>
  <si>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</si>
  <si>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</si>
  <si>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</si>
  <si>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</si>
  <si>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</si>
  <si>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</si>
  <si>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</si>
  <si>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</si>
  <si>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</si>
  <si>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</si>
  <si>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</si>
  <si>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</si>
  <si>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</si>
  <si>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</si>
  <si>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</si>
  <si>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</si>
  <si>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</si>
  <si>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</si>
  <si>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</si>
  <si>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</si>
  <si>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</si>
  <si>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</si>
  <si>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</si>
  <si>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</si>
  <si>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</si>
  <si>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</si>
  <si>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</si>
  <si>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</si>
  <si>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</si>
  <si>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</si>
  <si>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</si>
  <si>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</si>
  <si>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</si>
  <si>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</si>
  <si>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</si>
  <si>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</si>
  <si>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</si>
  <si>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</si>
  <si>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</si>
  <si>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</si>
  <si>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</si>
  <si>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</si>
  <si>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</si>
  <si>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</si>
  <si>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</si>
  <si>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</si>
  <si>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</si>
  <si>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</si>
  <si>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</si>
  <si>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</si>
  <si>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</si>
  <si>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</si>
  <si>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</si>
  <si>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</si>
  <si>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</si>
  <si>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</si>
  <si>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</si>
  <si>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</si>
  <si>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</si>
  <si>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</si>
  <si>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</si>
  <si>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</si>
  <si>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</si>
  <si>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</si>
  <si>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</si>
  <si>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</si>
  <si>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</si>
  <si>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</si>
  <si>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</si>
  <si>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</si>
  <si>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</si>
  <si>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</si>
  <si>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</si>
  <si>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</si>
  <si>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</si>
  <si>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</si>
  <si>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</si>
  <si>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</si>
  <si>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</si>
  <si>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</si>
  <si>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</si>
  <si>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</si>
  <si>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</si>
  <si>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</si>
  <si>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</si>
  <si>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</si>
  <si>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</si>
  <si>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</si>
  <si>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</si>
  <si>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</si>
  <si>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</si>
  <si>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</si>
  <si>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</si>
  <si>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</si>
  <si>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</si>
  <si>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</si>
  <si>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</si>
  <si>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</si>
  <si>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</si>
  <si>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</si>
  <si>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</si>
  <si>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</si>
  <si>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</si>
  <si>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</si>
  <si>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</si>
  <si>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</si>
  <si>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</si>
  <si>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</si>
  <si>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</si>
  <si>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</si>
  <si>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</si>
  <si>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</si>
  <si>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</si>
  <si>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</si>
  <si>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</si>
  <si>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</si>
  <si>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</si>
  <si>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</si>
  <si>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</si>
  <si>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</si>
  <si>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</si>
  <si>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</si>
  <si>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</si>
  <si>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</si>
  <si>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</si>
  <si>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</si>
  <si>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</si>
  <si>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</si>
  <si>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</si>
  <si>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</si>
  <si>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</si>
  <si>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</si>
  <si>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</si>
  <si>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</si>
  <si>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</si>
  <si>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</si>
  <si>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</si>
  <si>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</si>
  <si>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</si>
  <si>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</si>
  <si>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</si>
  <si>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</si>
  <si>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</si>
  <si>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</si>
  <si>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</si>
  <si>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</si>
  <si>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</si>
  <si>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</si>
  <si>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</si>
  <si>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</si>
  <si>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</si>
  <si>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</si>
  <si>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</si>
  <si>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</si>
  <si>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</si>
  <si>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</si>
  <si>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</si>
  <si>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</si>
  <si>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</si>
  <si>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</si>
  <si>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</si>
  <si>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</si>
  <si>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</si>
  <si>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</si>
  <si>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</si>
  <si>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</si>
  <si>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</si>
  <si>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</si>
  <si>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</si>
  <si>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</si>
  <si>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</si>
  <si>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</si>
  <si>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</si>
  <si>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</si>
  <si>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</si>
  <si>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</si>
  <si>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</si>
  <si>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</si>
  <si>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</si>
  <si>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</si>
  <si>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</si>
  <si>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</si>
  <si>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</si>
  <si>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</si>
  <si>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</si>
  <si>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</si>
  <si>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</si>
  <si>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</si>
  <si>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</si>
  <si>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</si>
  <si>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</si>
  <si>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</si>
  <si>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</si>
  <si>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</si>
  <si>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</si>
  <si>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</si>
  <si>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</si>
  <si>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</si>
  <si>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</si>
  <si>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</si>
  <si>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</si>
  <si>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</si>
  <si>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</si>
  <si>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</si>
  <si>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</si>
  <si>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</si>
  <si>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</si>
  <si>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</si>
  <si>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</si>
  <si>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</si>
  <si>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</si>
  <si>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</si>
  <si>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</si>
  <si>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</si>
  <si>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</si>
  <si>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</si>
  <si>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</si>
  <si>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</si>
  <si>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</si>
  <si>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</si>
  <si>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</si>
  <si>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</si>
  <si>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</si>
  <si>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</si>
  <si>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</si>
  <si>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</si>
  <si>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</si>
  <si>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</si>
  <si>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</si>
  <si>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</si>
  <si>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</si>
  <si>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</si>
  <si>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</si>
  <si>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</si>
  <si>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</si>
  <si>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</si>
  <si>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</si>
  <si>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</si>
  <si>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</si>
  <si>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</si>
  <si>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</si>
  <si>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</si>
  <si>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</si>
  <si>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</si>
  <si>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</si>
  <si>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</si>
  <si>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</si>
  <si>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</si>
  <si>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</si>
  <si>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</si>
  <si>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</si>
  <si>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</si>
  <si>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</si>
  <si>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</si>
  <si>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</si>
  <si>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</si>
  <si>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</si>
  <si>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</si>
  <si>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</si>
  <si>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</si>
  <si>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</si>
  <si>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</si>
  <si>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</si>
  <si>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</si>
  <si>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</si>
  <si>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</si>
  <si>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</si>
  <si>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</si>
  <si>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</si>
  <si>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</si>
  <si>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</si>
  <si>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</si>
  <si>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</si>
  <si>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</si>
  <si>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</si>
  <si>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</si>
  <si>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</si>
  <si>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</si>
  <si>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</si>
  <si>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</si>
  <si>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</si>
  <si>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</si>
  <si>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</si>
  <si>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</si>
  <si>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</si>
  <si>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</si>
  <si>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</si>
  <si>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</si>
  <si>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</si>
  <si>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</si>
  <si>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</si>
  <si>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</si>
  <si>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</si>
  <si>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</si>
  <si>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</si>
  <si>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</si>
  <si>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</si>
  <si>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</si>
  <si>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</si>
  <si>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</si>
  <si>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</si>
  <si>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</si>
  <si>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</si>
  <si>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</si>
  <si>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</si>
  <si>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</si>
  <si>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</si>
  <si>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</si>
  <si>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</si>
  <si>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</si>
  <si>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</si>
  <si>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</si>
  <si>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</si>
  <si>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</si>
  <si>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</si>
  <si>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</si>
  <si>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</si>
  <si>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</si>
  <si>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</si>
  <si>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</si>
  <si>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</si>
  <si>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</si>
  <si>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</si>
  <si>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</si>
  <si>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</si>
  <si>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</si>
  <si>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</si>
  <si>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</si>
  <si>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</si>
  <si>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</si>
  <si>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</si>
  <si>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</si>
  <si>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</si>
  <si>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</si>
  <si>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</si>
  <si>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</si>
  <si>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</si>
  <si>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</si>
  <si>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</si>
  <si>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</si>
  <si>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</si>
  <si>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</si>
  <si>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</si>
  <si>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</si>
  <si>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</si>
  <si>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</si>
  <si>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</si>
  <si>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</si>
  <si>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</si>
  <si>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</si>
  <si>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</si>
  <si>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</si>
  <si>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</si>
  <si>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</si>
  <si>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</si>
  <si>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</si>
  <si>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</si>
  <si>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</si>
  <si>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</si>
  <si>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</si>
  <si>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</si>
  <si>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</si>
  <si>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</si>
  <si>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</si>
  <si>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</si>
  <si>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</si>
  <si>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</si>
  <si>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</si>
  <si>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</si>
  <si>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</si>
  <si>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</si>
  <si>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</si>
  <si>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</si>
  <si>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</si>
  <si>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</si>
  <si>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</si>
  <si>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</si>
  <si>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</si>
  <si>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</si>
  <si>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</si>
  <si>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</si>
  <si>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</si>
  <si>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</si>
  <si>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</si>
  <si>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</si>
  <si>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</si>
  <si>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</si>
  <si>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</si>
  <si>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</si>
  <si>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</si>
  <si>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</si>
  <si>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</si>
  <si>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</si>
  <si>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</si>
  <si>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</si>
  <si>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</si>
  <si>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</si>
  <si>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</si>
  <si>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</si>
  <si>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</si>
  <si>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</si>
  <si>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</si>
  <si>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</si>
  <si>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</si>
  <si>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</si>
  <si>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</si>
  <si>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</si>
  <si>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</si>
  <si>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</si>
  <si>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</si>
  <si>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</si>
  <si>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</si>
  <si>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</si>
  <si>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</si>
  <si>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</si>
  <si>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</si>
  <si>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</si>
  <si>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</si>
  <si>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</si>
  <si>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</si>
  <si>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</si>
  <si>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</si>
  <si>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</si>
  <si>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</si>
  <si>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</si>
  <si>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</si>
  <si>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</si>
  <si>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</si>
  <si>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</si>
  <si>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</si>
  <si>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</si>
  <si>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</si>
  <si>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</si>
  <si>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</si>
  <si>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</si>
  <si>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</si>
  <si>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</si>
  <si>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</si>
  <si>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</si>
  <si>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</si>
  <si>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</si>
  <si>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</si>
  <si>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</si>
  <si>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</si>
  <si>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</si>
  <si>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</si>
  <si>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</si>
  <si>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</si>
  <si>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</si>
  <si>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</si>
  <si>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</si>
  <si>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</si>
  <si>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</si>
  <si>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</si>
  <si>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</si>
  <si>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</si>
  <si>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</si>
  <si>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</si>
  <si>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</si>
  <si>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</si>
  <si>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</si>
  <si>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</si>
  <si>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</si>
  <si>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</si>
  <si>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</si>
  <si>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</si>
  <si>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</si>
  <si>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</si>
  <si>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</si>
  <si>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</si>
  <si>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</si>
  <si>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</si>
  <si>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</si>
  <si>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</si>
  <si>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</si>
  <si>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</si>
  <si>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</si>
  <si>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</si>
  <si>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</si>
  <si>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</si>
  <si>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</si>
  <si>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</si>
  <si>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</si>
  <si>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</si>
  <si>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</si>
  <si>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</si>
  <si>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</si>
  <si>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</si>
  <si>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</si>
  <si>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</si>
  <si>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</si>
  <si>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</si>
  <si>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</si>
  <si>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</si>
  <si>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</si>
  <si>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</si>
  <si>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</si>
  <si>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</si>
  <si>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</si>
  <si>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</si>
  <si>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</si>
  <si>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</si>
  <si>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</si>
  <si>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</si>
  <si>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</si>
  <si>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</si>
  <si>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</si>
  <si>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</si>
  <si>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</si>
  <si>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</si>
  <si>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</si>
  <si>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</si>
  <si>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</si>
  <si>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</si>
  <si>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</si>
  <si>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</si>
  <si>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</si>
  <si>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</si>
  <si>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</si>
  <si>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</si>
  <si>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</si>
  <si>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</si>
  <si>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</si>
  <si>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</si>
  <si>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</si>
  <si>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</si>
  <si>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</si>
  <si>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</si>
  <si>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</si>
  <si>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</si>
  <si>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</si>
  <si>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</si>
  <si>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</si>
  <si>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</si>
  <si>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</si>
  <si>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</si>
  <si>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</si>
  <si>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</si>
  <si>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</si>
  <si>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</si>
  <si>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</si>
  <si>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</si>
  <si>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</si>
  <si>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</si>
  <si>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</si>
  <si>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</si>
  <si>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</si>
  <si>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</si>
  <si>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</si>
  <si>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</si>
  <si>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</si>
  <si>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</si>
  <si>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</si>
  <si>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</si>
  <si>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</si>
  <si>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</si>
  <si>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</si>
  <si>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</si>
  <si>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</si>
  <si>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</si>
  <si>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</si>
  <si>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</si>
  <si>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</si>
  <si>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</si>
  <si>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</si>
  <si>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</si>
  <si>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</si>
  <si>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</si>
  <si>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</si>
  <si>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</si>
  <si>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</si>
  <si>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</si>
  <si>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</si>
  <si>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</si>
  <si>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</si>
  <si>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</si>
  <si>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</si>
  <si>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</si>
  <si>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</si>
  <si>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</si>
  <si>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</si>
  <si>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</si>
  <si>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</si>
  <si>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</si>
  <si>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</si>
  <si>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</si>
  <si>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</si>
  <si>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</si>
  <si>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</si>
  <si>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</si>
  <si>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</si>
  <si>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</si>
  <si>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</si>
  <si>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</si>
  <si>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</si>
  <si>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</si>
  <si>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</si>
  <si>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</si>
  <si>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</si>
  <si>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</si>
  <si>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</si>
  <si>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</si>
  <si>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</si>
  <si>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</si>
  <si>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</si>
  <si>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</si>
  <si>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</si>
  <si>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</si>
  <si>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</si>
  <si>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</si>
  <si>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</si>
  <si>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</si>
  <si>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</si>
  <si>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</si>
  <si>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</si>
  <si>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</si>
  <si>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</si>
  <si>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</si>
  <si>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</si>
  <si>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</si>
  <si>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</si>
  <si>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</si>
  <si>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</si>
  <si>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</si>
  <si>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</si>
  <si>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</si>
  <si>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</si>
  <si>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</si>
  <si>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</si>
  <si>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</si>
  <si>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</si>
  <si>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</si>
  <si>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</si>
  <si>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</si>
  <si>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</si>
  <si>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</si>
  <si>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</si>
  <si>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</si>
  <si>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</si>
  <si>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</si>
  <si>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</si>
  <si>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</si>
  <si>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</si>
  <si>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</si>
  <si>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</si>
  <si>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</si>
  <si>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</si>
  <si>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</si>
  <si>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</si>
  <si>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</si>
  <si>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</si>
  <si>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</si>
  <si>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</si>
  <si>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</si>
  <si>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</si>
  <si>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</si>
  <si>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</si>
  <si>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</si>
  <si>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</si>
  <si>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</si>
  <si>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</si>
  <si>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</si>
  <si>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</si>
  <si>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</si>
  <si>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</si>
  <si>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</si>
  <si>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</si>
  <si>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</si>
  <si>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</si>
  <si>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</si>
  <si>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</si>
  <si>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</si>
  <si>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</si>
  <si>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</si>
  <si>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</si>
  <si>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</si>
  <si>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</si>
  <si>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</si>
  <si>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</si>
  <si>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</si>
  <si>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</si>
  <si>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</si>
  <si>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</si>
  <si>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</si>
  <si>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</si>
  <si>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</si>
  <si>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</si>
  <si>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</si>
  <si>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</si>
  <si>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</si>
  <si>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</si>
  <si>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</si>
  <si>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</si>
  <si>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</si>
  <si>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</si>
  <si>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</si>
  <si>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</si>
  <si>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</si>
  <si>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</si>
  <si>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</si>
  <si>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</si>
  <si>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</si>
  <si>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</si>
  <si>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</si>
  <si>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</si>
  <si>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</si>
  <si>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</si>
  <si>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</si>
  <si>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</si>
  <si>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</si>
  <si>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</si>
  <si>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</si>
  <si>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</si>
  <si>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</si>
  <si>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</si>
  <si>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</si>
  <si>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</si>
  <si>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</si>
  <si>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</si>
  <si>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</si>
  <si>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</si>
  <si>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</si>
  <si>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</si>
  <si>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</si>
  <si>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</si>
  <si>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</si>
  <si>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</si>
  <si>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</si>
  <si>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</si>
  <si>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</si>
  <si>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</si>
  <si>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</si>
  <si>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</si>
  <si>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</si>
  <si>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</si>
  <si>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</si>
  <si>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</si>
  <si>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</si>
  <si>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</si>
  <si>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</si>
  <si>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</si>
  <si>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</si>
  <si>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</si>
  <si>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</si>
  <si>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</si>
  <si>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</si>
  <si>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</si>
  <si>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</si>
  <si>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</si>
  <si>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</si>
  <si>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</si>
  <si>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</si>
  <si>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</si>
  <si>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</si>
  <si>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</si>
  <si>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</si>
  <si>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</si>
  <si>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</si>
  <si>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</si>
  <si>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</si>
  <si>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</si>
  <si>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</si>
  <si>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</si>
  <si>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</si>
  <si>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</si>
  <si>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</si>
  <si>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</si>
  <si>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</si>
  <si>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</si>
  <si>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</si>
  <si>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</si>
  <si>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</si>
  <si>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</si>
  <si>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</si>
  <si>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</si>
  <si>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</si>
  <si>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</si>
  <si>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</si>
  <si>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</si>
  <si>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</si>
  <si>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</si>
  <si>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</si>
  <si>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</si>
  <si>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</si>
  <si>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</si>
  <si>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</si>
  <si>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</si>
  <si>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</si>
  <si>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</si>
  <si>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</si>
  <si>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</si>
  <si>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</si>
  <si>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</si>
  <si>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</si>
  <si>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</si>
  <si>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</si>
  <si>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</si>
  <si>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</si>
  <si>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</si>
  <si>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</si>
  <si>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</si>
  <si>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</si>
  <si>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</si>
  <si>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</si>
  <si>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</si>
  <si>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</si>
  <si>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</si>
  <si>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</si>
  <si>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</si>
  <si>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</si>
  <si>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</si>
  <si>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</si>
  <si>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</si>
  <si>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</si>
  <si>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</si>
  <si>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</si>
  <si>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</si>
  <si>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</si>
  <si>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</si>
  <si>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</si>
  <si>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</si>
  <si>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</si>
  <si>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</si>
  <si>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</si>
  <si>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</si>
  <si>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</si>
  <si>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</si>
  <si>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</si>
  <si>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</si>
  <si>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</si>
  <si>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</si>
  <si>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</si>
  <si>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</si>
  <si>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</si>
  <si>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</si>
  <si>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</si>
  <si>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</si>
  <si>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</si>
  <si>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</si>
  <si>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</si>
  <si>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</si>
  <si>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</si>
  <si>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</si>
  <si>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</si>
  <si>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</si>
  <si>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</si>
  <si>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</si>
  <si>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</si>
  <si>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</si>
  <si>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</si>
  <si>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</si>
  <si>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</si>
  <si>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</si>
  <si>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</si>
  <si>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</si>
  <si>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</si>
  <si>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</si>
  <si>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</si>
  <si>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</si>
  <si>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</si>
  <si>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</si>
  <si>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</si>
  <si>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</si>
  <si>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</si>
  <si>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</si>
  <si>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</si>
  <si>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</si>
  <si>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</si>
  <si>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</si>
  <si>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</si>
  <si>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</si>
  <si>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</si>
  <si>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</si>
  <si>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</si>
  <si>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</si>
  <si>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</si>
  <si>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</si>
  <si>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</si>
  <si>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</si>
  <si>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</si>
  <si>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</si>
  <si>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</si>
  <si>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</si>
  <si>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</si>
  <si>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</si>
  <si>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</si>
  <si>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</si>
  <si>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</si>
  <si>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</si>
  <si>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</si>
  <si>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</si>
  <si>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</si>
  <si>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</si>
  <si>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</si>
  <si>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</si>
  <si>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</si>
  <si>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</si>
  <si>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</si>
  <si>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</si>
  <si>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</si>
  <si>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</si>
  <si>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</si>
  <si>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</si>
  <si>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</si>
  <si>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</si>
  <si>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</si>
  <si>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</si>
  <si>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</si>
  <si>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</si>
  <si>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</si>
  <si>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</si>
  <si>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</si>
  <si>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</si>
  <si>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</si>
  <si>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</si>
  <si>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</si>
  <si>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</si>
  <si>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</si>
  <si>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</si>
  <si>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</si>
  <si>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</si>
  <si>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</si>
  <si>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</si>
  <si>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</si>
  <si>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</si>
  <si>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</si>
  <si>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</si>
  <si>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</si>
  <si>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</si>
  <si>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</si>
  <si>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</si>
  <si>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</si>
  <si>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</si>
  <si>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</si>
  <si>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</si>
  <si>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</si>
  <si>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</si>
  <si>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</si>
  <si>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</si>
  <si>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</si>
  <si>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</si>
  <si>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</si>
  <si>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</si>
  <si>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</si>
  <si>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</si>
  <si>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</si>
  <si>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</si>
  <si>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</si>
  <si>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</si>
  <si>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</si>
  <si>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</si>
  <si>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</si>
  <si>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</si>
  <si>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</si>
  <si>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</si>
  <si>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</si>
  <si>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</si>
  <si>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</si>
  <si>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</si>
  <si>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</si>
  <si>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</si>
  <si>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</si>
  <si>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</si>
  <si>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</si>
  <si>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</si>
  <si>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</si>
  <si>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</si>
  <si>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</si>
  <si>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</si>
  <si>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</si>
  <si>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</si>
  <si>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</si>
  <si>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</si>
  <si>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</si>
  <si>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</si>
  <si>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</si>
  <si>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</si>
  <si>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</si>
  <si>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</si>
  <si>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</si>
  <si>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</si>
  <si>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</si>
  <si>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</si>
  <si>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</si>
  <si>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</si>
  <si>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</si>
  <si>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</si>
  <si>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</si>
  <si>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</si>
  <si>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</si>
  <si>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</si>
  <si>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</si>
  <si>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</si>
  <si>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</si>
  <si>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</si>
  <si>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</si>
  <si>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</si>
  <si>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</si>
  <si>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</si>
  <si>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</si>
  <si>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</si>
  <si>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</si>
  <si>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</si>
  <si>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</si>
  <si>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</si>
  <si>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</si>
  <si>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</si>
  <si>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</si>
  <si>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</si>
  <si>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</si>
  <si>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</si>
  <si>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</si>
  <si>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</si>
  <si>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</si>
  <si>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</si>
  <si>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</si>
  <si>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</si>
  <si>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</si>
  <si>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</si>
  <si>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</si>
  <si>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</si>
  <si>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</si>
  <si>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</si>
  <si>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</si>
  <si>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</si>
  <si>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</si>
  <si>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</si>
  <si>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</si>
  <si>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</si>
  <si>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</si>
  <si>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</si>
  <si>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</si>
  <si>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</si>
  <si>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</si>
  <si>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</si>
  <si>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</si>
  <si>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</si>
  <si>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</si>
  <si>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</si>
  <si>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</si>
  <si>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</si>
  <si>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</si>
  <si>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</si>
  <si>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</si>
  <si>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</si>
  <si>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</si>
  <si>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</si>
  <si>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</si>
  <si>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</si>
  <si>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</si>
  <si>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</si>
  <si>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</si>
  <si>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</si>
  <si>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</si>
  <si>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</si>
  <si>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</si>
  <si>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</si>
  <si>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</si>
  <si>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</si>
  <si>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</si>
  <si>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</si>
  <si>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</si>
  <si>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</si>
  <si>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</si>
  <si>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</si>
  <si>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</si>
  <si>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</si>
  <si>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</si>
  <si>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</si>
  <si>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</si>
  <si>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</si>
  <si>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</si>
  <si>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</si>
  <si>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</si>
  <si>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</si>
  <si>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</si>
  <si>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</si>
  <si>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</si>
  <si>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</si>
  <si>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</si>
  <si>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</si>
  <si>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</si>
  <si>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</si>
  <si>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</si>
  <si>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</si>
  <si>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</si>
  <si>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</si>
  <si>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</si>
  <si>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</si>
  <si>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</si>
  <si>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</si>
  <si>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</si>
  <si>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</si>
  <si>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</si>
  <si>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</si>
  <si>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</si>
  <si>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</si>
  <si>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</si>
  <si>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</si>
  <si>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</si>
  <si>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</si>
  <si>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</si>
  <si>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</si>
  <si>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</si>
  <si>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</si>
  <si>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</si>
  <si>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</si>
  <si>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</si>
  <si>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</si>
  <si>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</si>
  <si>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</si>
  <si>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</si>
  <si>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</si>
  <si>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</si>
  <si>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</si>
  <si>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</si>
  <si>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</si>
  <si>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</si>
  <si>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</si>
  <si>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</si>
  <si>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</si>
  <si>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</si>
  <si>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</si>
  <si>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</si>
  <si>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</si>
  <si>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</si>
  <si>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</si>
  <si>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</si>
  <si>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</si>
  <si>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</si>
  <si>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</si>
  <si>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</si>
  <si>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</si>
  <si>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</si>
  <si>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</si>
  <si>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</si>
  <si>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</si>
  <si>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</si>
  <si>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</si>
  <si>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</si>
  <si>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</si>
  <si>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</si>
  <si>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</si>
  <si>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</si>
  <si>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</si>
  <si>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</si>
  <si>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</si>
  <si>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</si>
  <si>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</si>
  <si>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</si>
  <si>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</si>
  <si>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</si>
  <si>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</si>
  <si>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</si>
  <si>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</si>
  <si>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</si>
  <si>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</si>
  <si>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</si>
  <si>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</si>
  <si>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</si>
  <si>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</si>
  <si>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</si>
  <si>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</si>
  <si>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</si>
  <si>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</si>
  <si>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</si>
  <si>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</si>
  <si>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</si>
  <si>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</si>
  <si>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</si>
  <si>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</si>
  <si>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</si>
  <si>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</si>
  <si>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</si>
  <si>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</si>
  <si>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</si>
  <si>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</si>
  <si>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</si>
  <si>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</si>
  <si>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</si>
  <si>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</si>
  <si>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</si>
  <si>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</si>
  <si>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</si>
  <si>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</si>
  <si>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</si>
  <si>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</si>
  <si>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</si>
  <si>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</si>
  <si>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</si>
  <si>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</si>
  <si>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</si>
  <si>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</si>
  <si>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</si>
  <si>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</si>
  <si>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</si>
  <si>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</si>
  <si>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</si>
  <si>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</si>
  <si>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</si>
  <si>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</si>
  <si>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</si>
  <si>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</si>
  <si>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</si>
  <si>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</si>
  <si>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</si>
  <si>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</si>
  <si>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</si>
  <si>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</si>
  <si>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</si>
  <si>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</si>
  <si>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</si>
  <si>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</si>
  <si>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</si>
  <si>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</si>
  <si>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</si>
  <si>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</si>
  <si>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</si>
  <si>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</si>
  <si>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</si>
  <si>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</si>
  <si>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</si>
  <si>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</si>
  <si>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</si>
  <si>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</si>
  <si>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</si>
  <si>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</si>
  <si>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</si>
  <si>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</si>
  <si>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</si>
  <si>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</si>
  <si>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</si>
  <si>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</si>
  <si>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</si>
  <si>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</si>
  <si>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</si>
  <si>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</si>
  <si>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</si>
  <si>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</si>
  <si>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</si>
  <si>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</si>
  <si>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</si>
  <si>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</si>
  <si>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</si>
  <si>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</si>
  <si>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</si>
  <si>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</si>
  <si>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</si>
  <si>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</si>
  <si>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</si>
  <si>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</si>
  <si>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</si>
  <si>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</si>
  <si>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</si>
  <si>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</si>
  <si>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</si>
  <si>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</si>
  <si>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</si>
  <si>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</si>
  <si>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</si>
  <si>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</si>
  <si>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</si>
  <si>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</si>
  <si>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</si>
  <si>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</si>
  <si>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</si>
  <si>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</si>
  <si>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</si>
  <si>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</si>
  <si>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</si>
  <si>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</si>
  <si>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</si>
  <si>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</si>
  <si>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</si>
  <si>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</si>
  <si>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</si>
  <si>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</si>
  <si>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</si>
  <si>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</si>
  <si>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</si>
  <si>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</si>
  <si>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</si>
  <si>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</si>
  <si>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</si>
  <si>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</si>
  <si>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</si>
  <si>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</si>
  <si>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</si>
  <si>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</si>
  <si>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</si>
  <si>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</si>
  <si>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</si>
  <si>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</si>
  <si>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</si>
  <si>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</si>
  <si>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</si>
  <si>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</si>
  <si>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</si>
  <si>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</si>
  <si>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</si>
  <si>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</si>
  <si>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</si>
  <si>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</si>
  <si>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</si>
  <si>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</si>
  <si>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</si>
  <si>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</si>
  <si>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</si>
  <si>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</si>
  <si>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</si>
  <si>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</si>
  <si>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</si>
  <si>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</si>
  <si>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</si>
  <si>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</si>
  <si>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</si>
  <si>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</si>
  <si>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</si>
  <si>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</si>
  <si>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</si>
  <si>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</si>
  <si>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</si>
  <si>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</si>
  <si>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</si>
  <si>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</si>
  <si>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</si>
  <si>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</si>
  <si>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</si>
  <si>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</si>
  <si>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</si>
  <si>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</si>
  <si>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</si>
  <si>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</si>
  <si>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</si>
  <si>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</si>
  <si>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</si>
  <si>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</si>
  <si>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</si>
  <si>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</si>
  <si>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</si>
  <si>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</si>
  <si>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</si>
  <si>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</si>
  <si>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</si>
  <si>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</si>
  <si>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</si>
  <si>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</si>
  <si>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</si>
  <si>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</si>
  <si>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</si>
  <si>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</si>
  <si>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</si>
  <si>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</si>
  <si>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</si>
  <si>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</si>
  <si>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</si>
  <si>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</si>
  <si>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</si>
  <si>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</si>
  <si>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</si>
  <si>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</si>
  <si>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</si>
  <si>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</si>
  <si>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</si>
  <si>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</si>
  <si>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</si>
  <si>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</si>
  <si>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</si>
  <si>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</si>
  <si>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</si>
  <si>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</si>
  <si>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</si>
  <si>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</si>
  <si>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</si>
  <si>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</si>
  <si>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</si>
  <si>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</si>
  <si>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</si>
  <si>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</si>
  <si>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</si>
  <si>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</si>
  <si>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</si>
  <si>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</si>
  <si>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</si>
  <si>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</si>
  <si>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</si>
  <si>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</si>
  <si>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</si>
  <si>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</si>
  <si>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</si>
  <si>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</si>
  <si>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</si>
  <si>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</si>
  <si>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</si>
  <si>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</si>
  <si>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</si>
  <si>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</si>
  <si>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</si>
  <si>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</si>
  <si>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</si>
  <si>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</si>
  <si>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</si>
  <si>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</si>
  <si>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</si>
  <si>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</si>
  <si>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</si>
  <si>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</si>
  <si>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</si>
  <si>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</si>
  <si>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</si>
  <si>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</si>
  <si>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</si>
  <si>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</si>
  <si>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</si>
  <si>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</si>
  <si>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</si>
  <si>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</si>
  <si>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</si>
  <si>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</si>
  <si>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</si>
  <si>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</si>
  <si>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</si>
  <si>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</si>
  <si>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</si>
  <si>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</si>
  <si>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</si>
  <si>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</si>
  <si>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</si>
  <si>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</si>
  <si>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</si>
  <si>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</si>
  <si>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</si>
  <si>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</si>
  <si>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</si>
  <si>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</si>
  <si>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</si>
  <si>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</si>
  <si>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</si>
  <si>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</si>
  <si>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</si>
  <si>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</si>
  <si>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</si>
  <si>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</si>
  <si>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</si>
  <si>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</si>
  <si>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</si>
  <si>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</si>
  <si>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</si>
  <si>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</si>
  <si>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</si>
  <si>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</si>
  <si>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</si>
  <si>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</si>
  <si>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</si>
  <si>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</si>
  <si>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</si>
  <si>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</si>
  <si>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</si>
  <si>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</si>
  <si>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</si>
  <si>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</si>
  <si>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</si>
  <si>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</si>
  <si>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</si>
  <si>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</si>
  <si>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</si>
  <si>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</si>
  <si>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</si>
  <si>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</si>
  <si>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</si>
  <si>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</si>
  <si>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</si>
  <si>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</si>
  <si>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</si>
  <si>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</si>
  <si>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</si>
  <si>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</si>
  <si>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</si>
  <si>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</si>
  <si>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</si>
  <si>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</si>
  <si>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</si>
  <si>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</si>
  <si>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</si>
  <si>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</si>
  <si>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</si>
  <si>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</si>
  <si>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</si>
  <si>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</si>
  <si>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</si>
  <si>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</si>
  <si>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</si>
  <si>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</si>
  <si>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</si>
  <si>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</si>
  <si>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</si>
  <si>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</si>
  <si>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</si>
  <si>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</si>
  <si>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</si>
  <si>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</si>
  <si>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</si>
  <si>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</si>
  <si>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</si>
  <si>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</si>
  <si>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</si>
  <si>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</si>
  <si>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</si>
  <si>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</si>
  <si>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</si>
  <si>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</si>
  <si>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</si>
  <si>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</si>
  <si>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</si>
  <si>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</si>
  <si>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</si>
  <si>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</si>
  <si>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</si>
  <si>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</si>
  <si>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</si>
  <si>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</si>
  <si>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</si>
  <si>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</si>
  <si>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</si>
  <si>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</si>
  <si>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</si>
  <si>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</si>
  <si>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</si>
  <si>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</si>
  <si>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</si>
  <si>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</si>
  <si>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</si>
  <si>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</si>
  <si>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</si>
  <si>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</si>
  <si>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</si>
  <si>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</si>
  <si>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</si>
  <si>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</si>
  <si>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</si>
  <si>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</si>
  <si>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</si>
  <si>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</si>
  <si>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</si>
  <si>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</si>
  <si>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</si>
  <si>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</si>
  <si>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</si>
  <si>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</si>
  <si>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</si>
  <si>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</si>
  <si>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</si>
  <si>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</si>
  <si>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</si>
  <si>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</si>
  <si>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</si>
  <si>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</si>
  <si>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</si>
  <si>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</si>
  <si>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</si>
  <si>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</si>
  <si>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</si>
  <si>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</si>
  <si>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</si>
  <si>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</si>
  <si>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</si>
  <si>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</si>
  <si>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</si>
  <si>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</si>
  <si>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</si>
  <si>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</si>
  <si>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</si>
  <si>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</si>
  <si>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</si>
  <si>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</si>
  <si>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</si>
  <si>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</si>
  <si>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</si>
  <si>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</si>
  <si>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</si>
  <si>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</si>
  <si>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</si>
  <si>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</si>
  <si>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</si>
  <si>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</si>
  <si>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</si>
  <si>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</si>
  <si>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</si>
  <si>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</si>
  <si>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</si>
  <si>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</si>
  <si>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</si>
  <si>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</si>
  <si>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</si>
  <si>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</si>
  <si>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</si>
  <si>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</si>
  <si>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</si>
  <si>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</si>
  <si>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</si>
  <si>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</si>
  <si>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</si>
  <si>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</si>
  <si>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</si>
  <si>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</si>
  <si>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</si>
  <si>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</si>
  <si>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</si>
  <si>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</si>
  <si>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</si>
  <si>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</si>
  <si>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</si>
  <si>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</si>
  <si>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</si>
  <si>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</si>
  <si>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</si>
  <si>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</si>
  <si>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</si>
  <si>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</si>
  <si>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</si>
  <si>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</si>
  <si>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</si>
  <si>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</si>
  <si>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</si>
  <si>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</si>
  <si>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</si>
  <si>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</si>
  <si>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</si>
  <si>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</si>
  <si>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</si>
  <si>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</si>
  <si>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</si>
  <si>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</si>
  <si>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</si>
  <si>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</si>
  <si>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</si>
  <si>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</si>
  <si>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</si>
  <si>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</si>
  <si>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</si>
  <si>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</si>
  <si>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</si>
  <si>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</si>
  <si>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</si>
  <si>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</si>
  <si>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</si>
  <si>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</si>
  <si>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</si>
  <si>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</si>
  <si>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</si>
  <si>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</si>
  <si>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</si>
  <si>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</si>
  <si>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</si>
  <si>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</si>
  <si>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</si>
  <si>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</si>
  <si>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</si>
  <si>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</si>
  <si>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</si>
  <si>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</si>
  <si>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</si>
  <si>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</si>
  <si>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</si>
  <si>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</si>
  <si>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</si>
  <si>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</si>
  <si>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</si>
  <si>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</si>
  <si>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</si>
  <si>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</si>
  <si>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</si>
  <si>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</si>
  <si>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</si>
  <si>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</si>
  <si>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</si>
  <si>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</si>
  <si>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</si>
  <si>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</si>
  <si>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</si>
  <si>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</si>
  <si>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</si>
  <si>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</si>
  <si>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</si>
  <si>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</si>
  <si>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</si>
  <si>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</si>
  <si>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</si>
  <si>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</si>
  <si>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</si>
  <si>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</si>
  <si>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</si>
  <si>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</si>
  <si>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</si>
  <si>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</si>
  <si>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</si>
  <si>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</si>
  <si>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</si>
  <si>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</si>
  <si>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</si>
  <si>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</si>
  <si>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</si>
  <si>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</si>
  <si>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</si>
  <si>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</si>
  <si>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</si>
  <si>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</si>
  <si>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</si>
  <si>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</si>
  <si>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</si>
  <si>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</si>
  <si>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</si>
  <si>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</si>
  <si>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</si>
  <si>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</si>
  <si>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</si>
  <si>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</si>
  <si>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</si>
  <si>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</si>
  <si>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</si>
  <si>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</si>
  <si>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</si>
  <si>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</si>
  <si>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</si>
  <si>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</si>
  <si>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</si>
  <si>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</si>
  <si>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</si>
  <si>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</si>
  <si>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</si>
  <si>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</si>
  <si>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</si>
  <si>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</si>
  <si>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</si>
  <si>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</si>
  <si>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</si>
  <si>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</si>
  <si>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</si>
  <si>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</si>
  <si>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</si>
  <si>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</si>
  <si>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</si>
  <si>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</si>
  <si>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</si>
  <si>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</si>
  <si>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</si>
  <si>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</si>
  <si>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</si>
  <si>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</si>
  <si>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</si>
  <si>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</si>
  <si>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</si>
  <si>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</si>
  <si>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</si>
  <si>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</si>
  <si>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</si>
  <si>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</si>
  <si>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</si>
  <si>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</si>
  <si>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</si>
  <si>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</si>
  <si>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</si>
  <si>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</si>
  <si>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</si>
  <si>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</si>
  <si>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</si>
  <si>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</si>
  <si>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</si>
  <si>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</si>
  <si>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</si>
  <si>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</si>
  <si>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</si>
  <si>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</si>
  <si>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</si>
  <si>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</si>
  <si>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</si>
  <si>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</si>
  <si>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</si>
  <si>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</si>
  <si>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</si>
  <si>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</si>
  <si>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</si>
  <si>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</si>
  <si>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</si>
  <si>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</si>
  <si>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</si>
  <si>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</si>
  <si>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</si>
  <si>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</si>
  <si>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</si>
  <si>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</si>
  <si>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</si>
  <si>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</si>
  <si>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</si>
  <si>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</si>
  <si>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</si>
  <si>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</si>
  <si>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</si>
  <si>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</si>
  <si>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</si>
  <si>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</si>
  <si>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</si>
  <si>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</si>
  <si>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</si>
  <si>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</si>
  <si>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</si>
  <si>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</si>
  <si>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</si>
  <si>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</si>
  <si>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</si>
  <si>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</si>
  <si>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</si>
  <si>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</si>
  <si>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</si>
  <si>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</si>
  <si>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</si>
  <si>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</si>
  <si>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</si>
  <si>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</si>
  <si>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</si>
  <si>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</si>
  <si>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</si>
  <si>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</si>
  <si>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</si>
  <si>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</si>
  <si>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</si>
  <si>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</si>
  <si>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</si>
  <si>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</si>
  <si>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</si>
  <si>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</si>
  <si>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</si>
  <si>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</si>
  <si>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</si>
  <si>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</si>
  <si>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</si>
  <si>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</si>
  <si>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</si>
  <si>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</si>
  <si>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</si>
  <si>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</si>
  <si>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</si>
  <si>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</si>
  <si>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</si>
  <si>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</si>
  <si>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</si>
  <si>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</si>
  <si>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</si>
  <si>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</si>
  <si>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</si>
  <si>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</si>
  <si>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</si>
  <si>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</si>
  <si>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</si>
  <si>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</si>
  <si>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</si>
  <si>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</si>
  <si>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</si>
  <si>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</si>
  <si>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</si>
  <si>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</si>
  <si>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</si>
  <si>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</si>
  <si>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</si>
  <si>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</si>
  <si>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</si>
  <si>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</si>
  <si>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</si>
  <si>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</si>
  <si>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</si>
  <si>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</si>
  <si>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</si>
  <si>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</si>
  <si>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</si>
  <si>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</si>
  <si>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</si>
  <si>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</si>
  <si>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</si>
  <si>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</si>
  <si>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</si>
  <si>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</si>
  <si>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</si>
  <si>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</si>
  <si>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</si>
  <si>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</si>
  <si>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</si>
  <si>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</si>
  <si>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</si>
  <si>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</si>
  <si>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</si>
  <si>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</si>
  <si>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</si>
  <si>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</si>
  <si>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</si>
  <si>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</si>
  <si>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</si>
  <si>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</si>
  <si>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</si>
  <si>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</si>
  <si>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</si>
  <si>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</si>
  <si>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</si>
  <si>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</si>
  <si>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</si>
  <si>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</si>
  <si>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</si>
  <si>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</si>
  <si>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</si>
  <si>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</si>
  <si>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</si>
  <si>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</si>
  <si>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</si>
  <si>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</si>
  <si>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</si>
  <si>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</si>
  <si>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</si>
  <si>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</si>
  <si>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</si>
  <si>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</si>
  <si>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</si>
  <si>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</si>
  <si>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</si>
  <si>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</si>
  <si>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</si>
  <si>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</si>
  <si>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</si>
  <si>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</si>
  <si>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</si>
  <si>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</si>
  <si>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</si>
  <si>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</si>
  <si>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</si>
  <si>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</si>
  <si>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</si>
  <si>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</si>
  <si>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</si>
  <si>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</si>
  <si>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</si>
  <si>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</si>
  <si>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</si>
  <si>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</si>
  <si>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</si>
  <si>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</si>
  <si>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</si>
  <si>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</si>
  <si>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</si>
  <si>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</si>
  <si>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</si>
  <si>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</si>
  <si>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</si>
  <si>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</si>
  <si>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</si>
  <si>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</si>
  <si>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</si>
  <si>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</si>
  <si>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</si>
  <si>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</si>
  <si>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</si>
  <si>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</si>
  <si>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</si>
  <si>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</si>
  <si>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</si>
  <si>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</si>
  <si>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</si>
  <si>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</si>
  <si>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</si>
  <si>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</si>
  <si>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</si>
  <si>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</si>
  <si>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</si>
  <si>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</si>
  <si>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</si>
  <si>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</si>
  <si>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</si>
  <si>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</si>
  <si>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</si>
  <si>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</si>
  <si>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</si>
  <si>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</si>
  <si>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</si>
  <si>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</si>
  <si>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</si>
  <si>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</si>
  <si>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</si>
  <si>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</si>
  <si>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</si>
  <si>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</si>
  <si>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</si>
  <si>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</si>
  <si>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</si>
  <si>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</si>
  <si>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</si>
  <si>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</si>
  <si>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</si>
  <si>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</si>
  <si>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</si>
  <si>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</si>
  <si>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</si>
  <si>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</si>
  <si>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</si>
  <si>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</si>
  <si>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</si>
  <si>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</si>
  <si>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</si>
  <si>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</si>
  <si>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</si>
  <si>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</si>
  <si>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</si>
  <si>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</si>
  <si>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</si>
  <si>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</si>
  <si>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</si>
  <si>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</si>
  <si>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</si>
  <si>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</si>
  <si>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</si>
  <si>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</si>
  <si>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</si>
  <si>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</si>
  <si>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</si>
  <si>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</si>
  <si>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</si>
  <si>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</si>
  <si>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</si>
  <si>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</si>
  <si>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</si>
  <si>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</si>
  <si>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</si>
  <si>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</si>
  <si>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</si>
  <si>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</si>
  <si>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</si>
  <si>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</si>
  <si>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</si>
  <si>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</si>
  <si>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</si>
  <si>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</si>
  <si>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</si>
  <si>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</si>
  <si>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</si>
  <si>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</si>
  <si>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</si>
  <si>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</si>
  <si>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</si>
  <si>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</si>
  <si>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</si>
  <si>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</si>
  <si>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</si>
  <si>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</si>
  <si>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</si>
  <si>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</si>
  <si>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</si>
  <si>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</si>
  <si>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</si>
  <si>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</si>
  <si>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</si>
  <si>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</si>
  <si>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</si>
  <si>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</si>
  <si>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</si>
  <si>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</si>
  <si>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</si>
  <si>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</si>
  <si>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</si>
  <si>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</si>
  <si>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</si>
  <si>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</si>
  <si>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</si>
  <si>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</si>
  <si>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</si>
  <si>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</si>
  <si>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</si>
  <si>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</si>
  <si>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</si>
  <si>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</si>
  <si>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</si>
  <si>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</si>
  <si>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</si>
  <si>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</si>
  <si>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</si>
  <si>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</si>
  <si>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</si>
  <si>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</si>
  <si>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</si>
  <si>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</si>
  <si>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</si>
  <si>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</si>
  <si>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</si>
  <si>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</si>
  <si>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</si>
  <si>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</si>
  <si>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</si>
  <si>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</si>
  <si>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</si>
  <si>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</si>
  <si>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</si>
  <si>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</si>
  <si>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</si>
  <si>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</si>
  <si>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</si>
  <si>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</si>
  <si>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</si>
  <si>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</si>
  <si>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</si>
  <si>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</si>
  <si>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</si>
  <si>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</si>
  <si>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</si>
  <si>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</si>
  <si>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</si>
  <si>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</si>
  <si>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</si>
  <si>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</si>
  <si>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</si>
  <si>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</si>
  <si>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</si>
  <si>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</si>
  <si>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</si>
  <si>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</si>
  <si>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</si>
  <si>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</si>
  <si>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</si>
  <si>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</si>
  <si>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</si>
  <si>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</si>
  <si>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</si>
  <si>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</si>
  <si>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</si>
  <si>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</si>
  <si>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</si>
  <si>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</si>
  <si>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</si>
  <si>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</si>
  <si>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</si>
  <si>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</si>
  <si>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</si>
  <si>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</si>
  <si>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</si>
  <si>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</si>
  <si>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</si>
  <si>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</si>
  <si>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</si>
  <si>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</si>
  <si>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</si>
  <si>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</si>
  <si>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</si>
  <si>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</si>
  <si>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</si>
  <si>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</si>
  <si>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</si>
  <si>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</si>
  <si>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</si>
  <si>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</si>
  <si>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</si>
  <si>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</si>
  <si>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</si>
  <si>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</si>
  <si>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</si>
  <si>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</si>
  <si>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</si>
  <si>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</si>
  <si>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</si>
  <si>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</si>
  <si>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</si>
  <si>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</si>
  <si>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</si>
  <si>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</si>
  <si>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</si>
  <si>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</si>
  <si>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</si>
  <si>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</si>
  <si>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</si>
  <si>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</si>
  <si>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</si>
  <si>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</si>
  <si>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</si>
  <si>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</si>
  <si>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</si>
  <si>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</si>
  <si>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</si>
  <si>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</si>
  <si>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</si>
  <si>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</si>
  <si>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</si>
  <si>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</si>
  <si>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</si>
  <si>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</si>
  <si>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</si>
  <si>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</si>
  <si>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</si>
  <si>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</si>
  <si>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</si>
  <si>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</si>
  <si>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</si>
  <si>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</si>
  <si>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</si>
  <si>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</si>
  <si>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</si>
  <si>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</si>
  <si>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</si>
  <si>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</si>
  <si>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</si>
  <si>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</si>
  <si>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</si>
  <si>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</si>
  <si>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</si>
  <si>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</si>
  <si>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</si>
  <si>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</si>
  <si>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</si>
  <si>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</si>
  <si>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</si>
  <si>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</si>
  <si>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</si>
  <si>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</si>
  <si>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</si>
  <si>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</si>
  <si>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</si>
  <si>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</si>
  <si>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</si>
  <si>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</si>
  <si>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</si>
  <si>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</si>
  <si>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</si>
  <si>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</si>
  <si>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</si>
  <si>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</si>
  <si>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</si>
  <si>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</si>
  <si>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</si>
  <si>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</si>
  <si>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</si>
  <si>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</si>
  <si>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</si>
  <si>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</si>
  <si>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</si>
  <si>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</si>
  <si>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</si>
  <si>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</si>
  <si>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</si>
  <si>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</si>
  <si>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</si>
  <si>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</si>
  <si>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</si>
  <si>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</si>
  <si>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</si>
  <si>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</si>
  <si>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</si>
  <si>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</si>
  <si>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</si>
  <si>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</si>
  <si>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</si>
  <si>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</si>
  <si>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</si>
  <si>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</si>
  <si>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</si>
  <si>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</si>
  <si>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</si>
  <si>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</si>
  <si>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</si>
  <si>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</si>
  <si>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</si>
  <si>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</si>
  <si>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</si>
  <si>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</si>
  <si>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</si>
  <si>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</si>
  <si>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</si>
  <si>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</si>
  <si>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</si>
  <si>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</si>
  <si>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</si>
  <si>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</si>
  <si>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</si>
  <si>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</si>
  <si>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</si>
  <si>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</si>
  <si>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</si>
  <si>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</si>
  <si>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</si>
  <si>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</si>
  <si>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</si>
  <si>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</si>
  <si>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</si>
  <si>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</si>
  <si>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</si>
  <si>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</si>
  <si>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</si>
  <si>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</si>
  <si>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</si>
  <si>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</si>
  <si>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</si>
  <si>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</si>
  <si>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</si>
  <si>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</si>
  <si>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</si>
  <si>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</si>
  <si>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</si>
  <si>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</si>
  <si>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</si>
  <si>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</si>
  <si>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</si>
  <si>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</si>
  <si>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</si>
  <si>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</si>
  <si>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</si>
  <si>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</si>
  <si>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</si>
  <si>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</si>
  <si>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</si>
  <si>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</si>
  <si>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</si>
  <si>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</si>
  <si>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</si>
  <si>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</si>
  <si>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</si>
  <si>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</si>
  <si>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</si>
  <si>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</si>
  <si>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</si>
  <si>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</si>
  <si>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</si>
  <si>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</si>
  <si>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</si>
  <si>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</si>
  <si>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</si>
  <si>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</si>
  <si>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</si>
  <si>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</si>
  <si>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</si>
  <si>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</si>
  <si>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</si>
  <si>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</si>
  <si>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</si>
  <si>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</si>
  <si>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</si>
  <si>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</si>
  <si>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</si>
  <si>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</si>
  <si>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</si>
  <si>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</si>
  <si>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</si>
  <si>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</si>
  <si>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</si>
  <si>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</si>
  <si>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</si>
  <si>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</si>
  <si>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</si>
  <si>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</si>
  <si>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</si>
  <si>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</si>
  <si>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</si>
  <si>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</si>
  <si>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</si>
  <si>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</si>
  <si>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</si>
  <si>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</si>
  <si>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</si>
  <si>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</si>
  <si>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</si>
  <si>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</si>
  <si>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</si>
  <si>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</si>
  <si>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</si>
  <si>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</si>
  <si>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</si>
  <si>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</si>
  <si>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</si>
  <si>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</si>
  <si>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</si>
  <si>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</si>
  <si>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</si>
  <si>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</si>
  <si>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</si>
  <si>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</si>
  <si>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</si>
  <si>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</si>
  <si>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</si>
  <si>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</si>
  <si>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</si>
  <si>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</si>
  <si>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</si>
  <si>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</si>
  <si>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</si>
  <si>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</si>
  <si>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</si>
  <si>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</si>
  <si>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</si>
  <si>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</si>
  <si>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</si>
  <si>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</si>
  <si>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</si>
  <si>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</si>
  <si>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</si>
  <si>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</si>
  <si>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</si>
  <si>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</si>
  <si>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</si>
  <si>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</si>
  <si>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</si>
  <si>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</si>
  <si>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</si>
  <si>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</si>
  <si>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</si>
  <si>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</si>
  <si>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</si>
  <si>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</si>
  <si>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</si>
  <si>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</si>
  <si>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</si>
  <si>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</si>
  <si>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</si>
  <si>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</si>
  <si>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</si>
  <si>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</si>
  <si>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</si>
  <si>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</si>
  <si>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</si>
  <si>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</si>
  <si>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</si>
  <si>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</si>
  <si>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</si>
  <si>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</si>
  <si>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</si>
  <si>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</si>
  <si>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</si>
  <si>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</si>
  <si>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</si>
  <si>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</si>
  <si>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</si>
  <si>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</si>
  <si>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</si>
  <si>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</si>
  <si>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</si>
  <si>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</si>
  <si>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</si>
  <si>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</si>
  <si>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</si>
  <si>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</si>
  <si>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</si>
  <si>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</si>
  <si>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</si>
  <si>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</si>
  <si>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</si>
  <si>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</si>
  <si>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</si>
  <si>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</si>
  <si>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</si>
  <si>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</si>
  <si>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</si>
  <si>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</si>
  <si>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</si>
  <si>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</si>
  <si>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</si>
  <si>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</si>
  <si>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</si>
  <si>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</si>
  <si>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</si>
  <si>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</si>
  <si>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</si>
  <si>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</si>
  <si>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</si>
  <si>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</si>
  <si>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</si>
  <si>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</si>
  <si>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</si>
  <si>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</si>
  <si>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</si>
  <si>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</si>
  <si>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</si>
  <si>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</si>
  <si>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</si>
  <si>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</si>
  <si>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</si>
  <si>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</si>
  <si>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</si>
  <si>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</si>
  <si>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</si>
  <si>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</si>
  <si>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</si>
  <si>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</si>
  <si>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</si>
  <si>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</si>
  <si>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</si>
  <si>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</si>
  <si>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</si>
  <si>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</si>
  <si>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</si>
  <si>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</si>
  <si>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</si>
  <si>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</si>
  <si>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</si>
  <si>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</si>
  <si>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</si>
  <si>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</si>
  <si>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</si>
  <si>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</si>
  <si>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</si>
  <si>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</si>
  <si>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</si>
  <si>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</si>
  <si>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</si>
  <si>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</si>
  <si>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</si>
  <si>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</si>
  <si>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</si>
  <si>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</si>
  <si>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</si>
  <si>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</si>
  <si>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</si>
  <si>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</si>
  <si>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</si>
  <si>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</si>
  <si>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</si>
  <si>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</si>
  <si>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</si>
  <si>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</si>
  <si>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</si>
  <si>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</si>
  <si>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</si>
  <si>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</si>
  <si>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</si>
  <si>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</si>
  <si>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</si>
  <si>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</si>
  <si>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</si>
  <si>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</si>
  <si>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</si>
  <si>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</si>
  <si>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</si>
  <si>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</si>
  <si>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</si>
  <si>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</si>
  <si>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</si>
  <si>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</si>
  <si>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</si>
  <si>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</si>
  <si>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</si>
  <si>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</si>
  <si>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</si>
  <si>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</si>
  <si>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</si>
  <si>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</si>
  <si>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</si>
  <si>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</si>
  <si>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</si>
  <si>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</si>
  <si>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</si>
  <si>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</si>
  <si>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</si>
  <si>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</si>
  <si>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</si>
  <si>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</si>
  <si>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</si>
  <si>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</si>
  <si>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</si>
  <si>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</si>
  <si>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</si>
  <si>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</si>
  <si>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</si>
  <si>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</si>
  <si>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</si>
  <si>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</si>
  <si>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</si>
  <si>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</si>
  <si>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</si>
  <si>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</si>
  <si>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</si>
  <si>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</si>
  <si>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</si>
  <si>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</si>
  <si>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</si>
  <si>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</si>
  <si>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</si>
  <si>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</si>
  <si>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</si>
  <si>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</si>
  <si>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</si>
  <si>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</si>
  <si>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</si>
  <si>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</si>
  <si>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</si>
  <si>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</si>
  <si>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</si>
  <si>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</si>
  <si>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</si>
  <si>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</si>
  <si>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</si>
  <si>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</si>
  <si>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</si>
  <si>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</si>
  <si>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</si>
  <si>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</si>
  <si>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</si>
  <si>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</si>
  <si>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</si>
  <si>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</si>
  <si>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</si>
  <si>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</si>
  <si>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</si>
  <si>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</si>
  <si>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</si>
  <si>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</si>
  <si>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</si>
  <si>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</si>
  <si>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</si>
  <si>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</si>
  <si>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</si>
  <si>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</si>
  <si>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</si>
  <si>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</si>
  <si>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</si>
  <si>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</si>
  <si>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</si>
  <si>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</si>
  <si>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</si>
  <si>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</si>
  <si>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</si>
  <si>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</si>
  <si>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</si>
  <si>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</si>
  <si>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</si>
  <si>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</si>
  <si>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</si>
  <si>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</si>
  <si>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</si>
  <si>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</si>
  <si>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</si>
  <si>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</si>
  <si>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</si>
  <si>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</si>
  <si>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</si>
  <si>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</si>
  <si>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</si>
  <si>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</si>
  <si>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</si>
  <si>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</si>
  <si>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</si>
  <si>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</si>
  <si>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</si>
  <si>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</si>
  <si>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</si>
  <si>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</si>
  <si>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</si>
  <si>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</si>
  <si>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</si>
  <si>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</si>
  <si>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</si>
  <si>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</si>
  <si>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</si>
  <si>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</si>
  <si>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</si>
  <si>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</si>
  <si>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</si>
  <si>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</si>
  <si>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</si>
  <si>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</si>
  <si>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</si>
  <si>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</si>
  <si>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</si>
  <si>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</si>
  <si>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</si>
  <si>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</si>
  <si>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</si>
  <si>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</si>
  <si>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</si>
  <si>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</si>
  <si>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</si>
  <si>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</si>
  <si>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</si>
  <si>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</si>
  <si>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</si>
  <si>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</si>
  <si>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</si>
  <si>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</si>
  <si>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</si>
  <si>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</si>
  <si>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</si>
  <si>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</si>
  <si>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</si>
  <si>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</si>
  <si>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</si>
  <si>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</si>
  <si>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</si>
  <si>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</si>
  <si>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</si>
  <si>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</si>
  <si>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</si>
  <si>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</si>
  <si>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</si>
  <si>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</si>
  <si>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</si>
  <si>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</si>
  <si>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</si>
  <si>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</si>
  <si>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</si>
  <si>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</si>
  <si>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</si>
  <si>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</si>
  <si>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</si>
  <si>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</si>
  <si>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</si>
  <si>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</si>
  <si>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</si>
  <si>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</si>
  <si>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</si>
  <si>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</si>
  <si>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</si>
  <si>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</si>
  <si>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</si>
  <si>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</si>
  <si>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</si>
  <si>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</si>
  <si>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</si>
  <si>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</si>
  <si>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</si>
  <si>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</si>
  <si>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</si>
  <si>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</si>
  <si>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</si>
  <si>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</si>
  <si>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</si>
  <si>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</si>
  <si>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</si>
  <si>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</si>
  <si>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</si>
  <si>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</si>
  <si>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</si>
  <si>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</si>
  <si>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</si>
  <si>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</si>
  <si>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</si>
  <si>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</si>
  <si>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</si>
  <si>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</si>
  <si>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</si>
  <si>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</si>
  <si>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</si>
  <si>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</si>
  <si>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</si>
  <si>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</si>
  <si>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</si>
  <si>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</si>
  <si>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</si>
  <si>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</si>
  <si>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</si>
  <si>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</si>
  <si>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</si>
  <si>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</si>
  <si>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</si>
  <si>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</si>
  <si>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</si>
  <si>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</si>
  <si>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</si>
  <si>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</si>
  <si>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</si>
  <si>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</si>
  <si>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</si>
  <si>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</si>
  <si>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</si>
  <si>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</si>
  <si>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</si>
  <si>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</si>
  <si>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</si>
  <si>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</si>
  <si>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</si>
  <si>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</si>
  <si>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</si>
  <si>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</si>
  <si>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</si>
  <si>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</si>
  <si>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</si>
  <si>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</si>
  <si>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</si>
  <si>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</si>
  <si>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</si>
  <si>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</si>
  <si>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</si>
  <si>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</si>
  <si>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</si>
  <si>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</si>
  <si>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</si>
  <si>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</si>
  <si>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</si>
  <si>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</si>
  <si>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</si>
  <si>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</si>
  <si>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</si>
  <si>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</si>
  <si>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</si>
  <si>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</si>
  <si>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</si>
  <si>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</si>
  <si>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</si>
  <si>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</si>
  <si>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</si>
  <si>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</si>
  <si>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</si>
  <si>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</si>
  <si>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</si>
  <si>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</si>
  <si>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</si>
  <si>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</si>
  <si>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</si>
  <si>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</si>
  <si>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</si>
  <si>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</si>
  <si>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</si>
  <si>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</si>
  <si>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</si>
  <si>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</si>
  <si>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</si>
  <si>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</si>
  <si>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</si>
  <si>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</si>
  <si>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</si>
  <si>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</si>
  <si>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</si>
  <si>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</si>
  <si>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</si>
  <si>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</si>
  <si>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</si>
  <si>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</si>
  <si>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</si>
  <si>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</si>
  <si>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</si>
  <si>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</si>
  <si>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</si>
  <si>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</si>
  <si>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</si>
  <si>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</si>
  <si>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</si>
  <si>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</si>
  <si>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</si>
  <si>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</si>
  <si>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</si>
  <si>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</si>
  <si>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</si>
  <si>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</si>
  <si>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</si>
  <si>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</si>
  <si>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</si>
  <si>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</si>
  <si>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</si>
  <si>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</si>
  <si>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</si>
  <si>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</si>
  <si>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</si>
  <si>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</si>
  <si>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</si>
  <si>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</si>
  <si>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</si>
  <si>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</si>
  <si>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</si>
  <si>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</si>
  <si>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</si>
  <si>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</si>
  <si>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</si>
  <si>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</si>
  <si>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</si>
  <si>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</si>
  <si>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</si>
  <si>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</si>
  <si>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</si>
  <si>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</si>
  <si>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</si>
  <si>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</si>
  <si>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</si>
  <si>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</si>
  <si>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</si>
  <si>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</si>
  <si>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</si>
  <si>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</si>
  <si>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</si>
  <si>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</si>
  <si>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</si>
  <si>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</si>
  <si>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</si>
  <si>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</si>
  <si>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</si>
  <si>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</si>
  <si>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</si>
  <si>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</si>
  <si>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</si>
  <si>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</si>
  <si>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</si>
  <si>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</si>
  <si>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</si>
  <si>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</si>
  <si>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</si>
  <si>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</si>
  <si>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</si>
  <si>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</si>
  <si>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</si>
  <si>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</si>
  <si>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</si>
  <si>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</si>
  <si>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</si>
  <si>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</si>
  <si>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</si>
  <si>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</si>
  <si>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</si>
  <si>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</si>
  <si>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</si>
  <si>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</si>
  <si>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</si>
  <si>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</si>
  <si>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</si>
  <si>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</si>
  <si>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</si>
  <si>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</si>
  <si>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</si>
  <si>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</si>
  <si>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</si>
  <si>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</si>
  <si>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</si>
  <si>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</si>
  <si>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</si>
  <si>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</si>
  <si>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</si>
  <si>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</si>
  <si>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</si>
  <si>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</si>
  <si>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</si>
  <si>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</si>
  <si>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</si>
  <si>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</si>
  <si>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</si>
  <si>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</si>
  <si>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</si>
  <si>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</si>
  <si>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</si>
  <si>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</si>
  <si>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</si>
  <si>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</si>
  <si>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</si>
  <si>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</si>
  <si>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</si>
  <si>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</si>
  <si>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</si>
  <si>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</si>
  <si>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</si>
  <si>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</si>
  <si>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</si>
  <si>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</si>
  <si>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</si>
  <si>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</si>
  <si>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</si>
  <si>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</si>
  <si>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</si>
  <si>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</si>
  <si>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</si>
  <si>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</si>
  <si>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</si>
  <si>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</si>
  <si>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</si>
  <si>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</si>
  <si>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</si>
  <si>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</si>
  <si>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</si>
  <si>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</si>
  <si>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</si>
  <si>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</si>
  <si>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</si>
  <si>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</si>
  <si>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</si>
  <si>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</si>
  <si>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</si>
  <si>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</si>
  <si>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</si>
  <si>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</si>
  <si>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</si>
  <si>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</si>
  <si>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</si>
  <si>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</si>
  <si>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</si>
  <si>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</si>
  <si>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</si>
  <si>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</si>
  <si>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</si>
  <si>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</si>
  <si>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</si>
  <si>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</si>
  <si>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</si>
  <si>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</si>
  <si>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</si>
  <si>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</si>
  <si>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</si>
  <si>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</si>
  <si>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</si>
  <si>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</si>
  <si>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</si>
  <si>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</si>
  <si>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</si>
  <si>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</si>
  <si>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</si>
  <si>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</si>
  <si>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</si>
  <si>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</si>
  <si>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</si>
  <si>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</si>
  <si>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</si>
  <si>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</si>
  <si>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</si>
  <si>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</si>
  <si>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</si>
  <si>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</si>
  <si>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</si>
  <si>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</si>
  <si>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</si>
  <si>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</si>
  <si>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</si>
  <si>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</si>
  <si>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</si>
  <si>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</si>
  <si>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</si>
  <si>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</si>
  <si>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</si>
  <si>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</si>
  <si>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</si>
  <si>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</si>
  <si>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</si>
  <si>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</si>
  <si>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</si>
  <si>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</si>
  <si>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</si>
  <si>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</si>
  <si>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</si>
  <si>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</si>
  <si>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</si>
  <si>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</si>
  <si>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</si>
  <si>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</si>
  <si>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</si>
  <si>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</si>
  <si>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</si>
  <si>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</si>
  <si>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</si>
  <si>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</si>
  <si>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</si>
  <si>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</si>
  <si>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</si>
  <si>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</si>
  <si>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</si>
  <si>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</si>
  <si>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</si>
  <si>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</si>
  <si>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</si>
  <si>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</si>
  <si>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</si>
  <si>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</si>
  <si>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</si>
  <si>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</si>
  <si>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</si>
  <si>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</si>
  <si>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</si>
  <si>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</si>
  <si>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</si>
  <si>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</si>
  <si>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</si>
  <si>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</si>
  <si>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</si>
  <si>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</si>
  <si>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</si>
  <si>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</si>
  <si>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</si>
  <si>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</si>
  <si>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</si>
  <si>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</si>
  <si>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</si>
  <si>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</si>
  <si>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</si>
  <si>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</si>
  <si>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</si>
  <si>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</si>
  <si>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</si>
  <si>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</si>
  <si>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</si>
  <si>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</si>
  <si>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</si>
  <si>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</si>
  <si>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</si>
  <si>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</si>
  <si>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</si>
  <si>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</si>
  <si>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</si>
  <si>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</si>
  <si>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</si>
  <si>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</si>
  <si>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</si>
  <si>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</si>
  <si>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</si>
  <si>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</si>
  <si>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</si>
  <si>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</si>
  <si>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</si>
  <si>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</si>
  <si>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</si>
  <si>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</si>
  <si>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</si>
  <si>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</si>
  <si>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</si>
  <si>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</si>
  <si>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</si>
  <si>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</si>
  <si>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</si>
  <si>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</si>
  <si>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</si>
  <si>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</si>
  <si>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</si>
  <si>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</si>
  <si>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</si>
  <si>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</si>
  <si>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</si>
  <si>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</si>
  <si>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</si>
  <si>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</si>
  <si>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</si>
  <si>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</si>
  <si>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</si>
  <si>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</si>
  <si>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</si>
  <si>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</si>
  <si>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</si>
  <si>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</si>
  <si>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</si>
  <si>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</si>
  <si>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</si>
  <si>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</si>
  <si>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</si>
  <si>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</si>
  <si>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</si>
  <si>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</si>
  <si>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</si>
  <si>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</si>
  <si>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</si>
  <si>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</si>
  <si>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</si>
  <si>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</si>
  <si>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</si>
  <si>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</si>
  <si>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</si>
  <si>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</si>
  <si>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</si>
  <si>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</si>
  <si>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</si>
  <si>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</si>
  <si>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</si>
  <si>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</si>
  <si>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</si>
  <si>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</si>
  <si>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</si>
  <si>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</si>
  <si>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</si>
  <si>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</si>
  <si>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</si>
  <si>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</si>
  <si>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</si>
  <si>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</si>
  <si>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</si>
  <si>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</si>
  <si>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</si>
  <si>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</si>
  <si>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</si>
  <si>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</si>
  <si>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</si>
  <si>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</si>
  <si>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</si>
  <si>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</si>
  <si>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</si>
  <si>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</si>
  <si>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</si>
  <si>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</si>
  <si>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</si>
  <si>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</si>
  <si>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</si>
  <si>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</si>
  <si>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</si>
  <si>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</si>
  <si>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</si>
  <si>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</si>
  <si>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</si>
  <si>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</si>
  <si>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</si>
  <si>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</si>
  <si>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</si>
  <si>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</si>
  <si>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</si>
  <si>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</si>
  <si>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</si>
  <si>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</si>
  <si>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</si>
  <si>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</si>
  <si>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</si>
  <si>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</si>
  <si>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</si>
  <si>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</si>
  <si>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</si>
  <si>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</si>
  <si>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</si>
  <si>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</si>
  <si>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</si>
  <si>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</si>
  <si>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</si>
  <si>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</si>
  <si>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</si>
  <si>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</si>
  <si>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</si>
  <si>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</si>
  <si>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</si>
  <si>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</si>
  <si>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</si>
  <si>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</si>
  <si>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</si>
  <si>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</si>
  <si>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</si>
  <si>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</si>
  <si>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</si>
  <si>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</si>
  <si>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</si>
  <si>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</si>
  <si>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</si>
  <si>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</si>
  <si>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</si>
  <si>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</si>
  <si>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</si>
  <si>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</si>
  <si>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</si>
  <si>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</si>
  <si>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</si>
  <si>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</si>
  <si>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</si>
  <si>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</si>
  <si>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</si>
  <si>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</si>
  <si>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</si>
  <si>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</si>
  <si>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</si>
  <si>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</si>
  <si>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</si>
  <si>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</si>
  <si>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</si>
  <si>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</si>
  <si>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</si>
  <si>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</si>
  <si>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</si>
  <si>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</si>
  <si>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</si>
  <si>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</si>
  <si>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</si>
  <si>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</si>
  <si>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</si>
  <si>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</si>
  <si>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</si>
  <si>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</si>
  <si>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</si>
  <si>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</si>
  <si>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</si>
  <si>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</si>
  <si>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</si>
  <si>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</si>
  <si>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</si>
  <si>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</si>
  <si>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</si>
  <si>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</si>
  <si>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</si>
  <si>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</si>
  <si>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</si>
  <si>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</si>
  <si>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</si>
  <si>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</si>
  <si>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</si>
  <si>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</si>
  <si>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</si>
  <si>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</si>
  <si>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</si>
  <si>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</si>
  <si>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</si>
  <si>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</si>
  <si>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</si>
  <si>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</si>
  <si>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</si>
  <si>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</si>
  <si>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</si>
  <si>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</si>
  <si>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</si>
  <si>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</si>
  <si>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</si>
  <si>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</si>
  <si>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</si>
  <si>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</si>
  <si>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</si>
  <si>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</si>
  <si>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</si>
  <si>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</si>
  <si>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</si>
  <si>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</si>
  <si>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</si>
  <si>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</si>
  <si>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</si>
  <si>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</si>
  <si>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</si>
  <si>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</si>
  <si>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</si>
  <si>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</si>
  <si>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</si>
  <si>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</si>
  <si>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</si>
  <si>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</si>
  <si>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</si>
  <si>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</si>
  <si>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</si>
  <si>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</si>
  <si>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</si>
  <si>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</si>
  <si>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</si>
  <si>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</si>
  <si>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</si>
  <si>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</si>
  <si>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</si>
  <si>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</si>
  <si>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</si>
  <si>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</si>
  <si>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</si>
  <si>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</si>
  <si>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</si>
  <si>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</si>
  <si>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</si>
  <si>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</si>
  <si>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</si>
  <si>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</si>
  <si>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</si>
  <si>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</si>
  <si>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</si>
  <si>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</si>
  <si>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</si>
  <si>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</si>
  <si>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</si>
  <si>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</si>
  <si>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</si>
  <si>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</si>
  <si>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</si>
  <si>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</si>
  <si>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</si>
  <si>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</si>
  <si>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</si>
  <si>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</si>
  <si>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</si>
  <si>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</si>
  <si>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</si>
  <si>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</si>
  <si>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</si>
  <si>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</si>
  <si>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</si>
  <si>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</si>
  <si>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</si>
  <si>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</si>
  <si>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</si>
  <si>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</si>
  <si>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</si>
  <si>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</si>
  <si>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</si>
  <si>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</si>
  <si>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</si>
  <si>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</si>
  <si>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</si>
  <si>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</si>
  <si>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</si>
  <si>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</si>
  <si>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</si>
  <si>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</si>
  <si>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</si>
  <si>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</si>
  <si>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</si>
  <si>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</si>
  <si>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</si>
  <si>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</si>
  <si>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</si>
  <si>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</si>
  <si>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</si>
  <si>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</si>
  <si>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</si>
  <si>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</si>
  <si>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</si>
  <si>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</si>
  <si>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</si>
  <si>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</si>
  <si>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</si>
  <si>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</si>
  <si>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</si>
  <si>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</si>
  <si>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</si>
  <si>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</si>
  <si>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</si>
  <si>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</si>
  <si>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</si>
  <si>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</si>
  <si>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</si>
  <si>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</si>
  <si>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</si>
  <si>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</si>
  <si>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</si>
  <si>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</si>
  <si>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</si>
  <si>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</si>
  <si>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</si>
  <si>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</si>
  <si>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</si>
  <si>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</si>
  <si>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</si>
  <si>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</si>
  <si>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</si>
  <si>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</si>
  <si>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</si>
  <si>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</si>
  <si>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</si>
  <si>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</si>
  <si>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</si>
  <si>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</si>
  <si>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</si>
  <si>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</si>
  <si>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</si>
  <si>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</si>
  <si>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</si>
  <si>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</si>
  <si>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</si>
  <si>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</si>
  <si>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</si>
  <si>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</si>
  <si>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</si>
  <si>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</si>
  <si>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</si>
  <si>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</si>
  <si>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</si>
  <si>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</si>
  <si>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</si>
  <si>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</si>
  <si>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</si>
  <si>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</si>
  <si>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</si>
  <si>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</si>
  <si>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</si>
  <si>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</si>
  <si>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</si>
  <si>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</si>
  <si>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</si>
  <si>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</si>
  <si>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</si>
  <si>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</si>
  <si>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</si>
  <si>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</si>
  <si>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</si>
  <si>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</si>
  <si>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</si>
  <si>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</si>
  <si>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</si>
  <si>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</si>
  <si>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</si>
  <si>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</si>
  <si>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</si>
  <si>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</si>
  <si>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</si>
  <si>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</si>
  <si>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</si>
  <si>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</si>
  <si>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</si>
  <si>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</si>
  <si>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</si>
  <si>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</si>
  <si>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</si>
  <si>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</si>
  <si>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</si>
  <si>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</si>
  <si>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</si>
  <si>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</si>
  <si>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</si>
  <si>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</si>
  <si>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</si>
  <si>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</si>
  <si>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</si>
  <si>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</si>
  <si>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</si>
  <si>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</si>
  <si>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</si>
  <si>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</si>
  <si>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</si>
  <si>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</si>
  <si>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</si>
  <si>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</si>
  <si>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</si>
  <si>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</si>
  <si>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</si>
  <si>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</si>
  <si>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</si>
  <si>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</si>
  <si>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</si>
  <si>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</si>
  <si>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</si>
  <si>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</si>
  <si>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</si>
  <si>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</si>
  <si>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</si>
  <si>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</si>
  <si>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</si>
  <si>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</si>
  <si>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</si>
  <si>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</si>
  <si>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</si>
  <si>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</si>
  <si>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</si>
  <si>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</si>
  <si>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</si>
  <si>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</si>
  <si>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</si>
  <si>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</si>
  <si>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</si>
  <si>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</si>
  <si>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</si>
  <si>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</si>
  <si>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</si>
  <si>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</si>
  <si>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</si>
  <si>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</si>
  <si>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</si>
  <si>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</si>
  <si>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</si>
  <si>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</si>
  <si>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</si>
  <si>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</si>
  <si>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</si>
  <si>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</si>
  <si>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</si>
  <si>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</si>
  <si>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</si>
  <si>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</si>
  <si>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</si>
  <si>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</si>
  <si>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</si>
  <si>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</si>
  <si>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</si>
  <si>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</si>
  <si>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</si>
  <si>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</si>
  <si>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</si>
  <si>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</si>
  <si>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</si>
  <si>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</si>
  <si>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</si>
  <si>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</si>
  <si>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</si>
  <si>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</si>
  <si>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</si>
  <si>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</si>
  <si>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</si>
  <si>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</si>
  <si>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</si>
  <si>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</si>
  <si>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</si>
  <si>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</si>
  <si>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</si>
  <si>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</si>
  <si>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</si>
  <si>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</si>
  <si>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</si>
  <si>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</si>
  <si>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</si>
  <si>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</si>
  <si>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</si>
  <si>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</si>
  <si>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</si>
  <si>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</si>
  <si>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</si>
  <si>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</si>
  <si>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</si>
  <si>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</si>
  <si>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</si>
  <si>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</si>
  <si>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</si>
  <si>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</si>
  <si>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</si>
  <si>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</si>
  <si>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</si>
  <si>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</si>
  <si>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</si>
  <si>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</si>
  <si>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</si>
  <si>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</si>
  <si>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</si>
  <si>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</si>
  <si>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</si>
  <si>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</si>
  <si>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</si>
  <si>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</si>
  <si>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</si>
  <si>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</si>
  <si>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</si>
  <si>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</si>
  <si>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</si>
  <si>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</si>
  <si>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</si>
  <si>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</si>
  <si>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</si>
  <si>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</si>
  <si>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</si>
  <si>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</si>
  <si>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</si>
  <si>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</si>
  <si>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</si>
  <si>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</si>
  <si>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</si>
  <si>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</si>
  <si>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</si>
  <si>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</si>
  <si>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</si>
  <si>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</si>
  <si>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</si>
  <si>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</si>
  <si>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</si>
  <si>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</si>
  <si>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</si>
  <si>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</si>
  <si>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</si>
  <si>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</si>
  <si>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</si>
  <si>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</si>
  <si>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</si>
  <si>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</si>
  <si>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</si>
  <si>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</si>
  <si>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</si>
  <si>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</si>
  <si>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</si>
  <si>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</si>
  <si>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</si>
  <si>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</si>
  <si>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</si>
  <si>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</si>
  <si>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</si>
  <si>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</si>
  <si>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</si>
  <si>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</si>
  <si>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</si>
  <si>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</si>
  <si>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</si>
  <si>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</si>
  <si>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</si>
  <si>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</si>
  <si>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</si>
  <si>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</si>
  <si>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</si>
  <si>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</si>
  <si>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</si>
  <si>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</si>
  <si>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</si>
  <si>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</si>
  <si>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</si>
  <si>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</si>
  <si>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</si>
  <si>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</si>
  <si>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</si>
  <si>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</si>
  <si>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</si>
  <si>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</si>
  <si>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</si>
  <si>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</si>
  <si>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</si>
  <si>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</si>
  <si>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</si>
  <si>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</si>
  <si>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</si>
  <si>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</si>
  <si>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</si>
  <si>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</si>
  <si>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</si>
  <si>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</si>
  <si>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</si>
  <si>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</si>
  <si>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</si>
  <si>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</si>
  <si>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</si>
  <si>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</si>
  <si>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</si>
  <si>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</si>
  <si>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</si>
  <si>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</si>
  <si>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</si>
  <si>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</si>
  <si>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</si>
  <si>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</si>
  <si>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</si>
  <si>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</si>
  <si>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</si>
  <si>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</si>
  <si>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</si>
  <si>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</si>
  <si>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</si>
  <si>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</si>
  <si>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</si>
  <si>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</si>
  <si>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</si>
  <si>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</si>
  <si>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</si>
  <si>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</si>
  <si>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</si>
  <si>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</si>
  <si>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</si>
  <si>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</si>
  <si>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</si>
  <si>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</si>
  <si>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</si>
  <si>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</si>
  <si>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</si>
  <si>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</si>
  <si>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</si>
  <si>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</si>
  <si>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</si>
  <si>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</si>
  <si>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</si>
  <si>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</si>
  <si>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</si>
  <si>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</si>
  <si>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</si>
  <si>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</si>
  <si>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</si>
  <si>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</si>
  <si>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</si>
  <si>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</si>
  <si>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</si>
  <si>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</si>
  <si>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</si>
  <si>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</si>
  <si>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</si>
  <si>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</si>
  <si>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</si>
  <si>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</si>
  <si>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</si>
  <si>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</si>
  <si>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</si>
  <si>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</si>
  <si>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</si>
  <si>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</si>
  <si>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</si>
  <si>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</si>
  <si>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</si>
  <si>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</si>
  <si>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</si>
  <si>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</si>
  <si>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</si>
  <si>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</si>
  <si>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</si>
  <si>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</si>
  <si>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</si>
  <si>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</si>
  <si>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</si>
  <si>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</si>
  <si>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</si>
  <si>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</si>
  <si>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</si>
  <si>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</si>
  <si>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</si>
  <si>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</si>
  <si>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</si>
  <si>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</si>
  <si>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</si>
  <si>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</si>
  <si>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</si>
  <si>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</si>
  <si>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</si>
  <si>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</si>
  <si>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</si>
  <si>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</si>
  <si>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</si>
  <si>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</si>
  <si>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</si>
  <si>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</si>
  <si>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</si>
  <si>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</si>
  <si>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</si>
  <si>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</si>
  <si>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</si>
  <si>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</si>
  <si>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</si>
  <si>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</si>
  <si>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</si>
  <si>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</si>
  <si>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</si>
  <si>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</si>
  <si>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</si>
  <si>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</si>
  <si>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</si>
  <si>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</si>
  <si>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</si>
  <si>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</si>
  <si>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</si>
  <si>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</si>
  <si>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</si>
  <si>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</si>
  <si>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</si>
  <si>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</si>
  <si>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</si>
  <si>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</si>
  <si>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</si>
  <si>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</si>
  <si>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</si>
  <si>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</si>
  <si>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</si>
  <si>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</si>
  <si>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</si>
  <si>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</si>
  <si>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</si>
  <si>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</si>
  <si>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</si>
  <si>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</si>
  <si>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</si>
  <si>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</si>
  <si>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</si>
  <si>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</si>
  <si>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</si>
  <si>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</si>
  <si>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</si>
  <si>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</si>
  <si>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</si>
  <si>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</si>
  <si>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</si>
  <si>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</si>
  <si>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</si>
  <si>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</si>
  <si>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</si>
  <si>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</si>
  <si>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</si>
  <si>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</si>
  <si>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</si>
  <si>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</si>
  <si>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</si>
  <si>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</si>
  <si>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</si>
  <si>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</si>
  <si>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</si>
  <si>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</si>
  <si>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</si>
  <si>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</si>
  <si>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</si>
  <si>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</si>
  <si>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</si>
  <si>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</si>
  <si>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</si>
  <si>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</si>
  <si>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</si>
  <si>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</si>
  <si>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</si>
  <si>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</si>
  <si>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</si>
  <si>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</si>
  <si>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</si>
  <si>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</si>
  <si>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</si>
  <si>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</si>
  <si>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</si>
  <si>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</si>
  <si>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</si>
  <si>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</si>
  <si>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</si>
  <si>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</si>
  <si>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</si>
  <si>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</si>
  <si>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</si>
  <si>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</si>
  <si>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</si>
  <si>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</si>
  <si>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</si>
  <si>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</si>
  <si>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Williams Plating Company, Inc.</t>
  </si>
  <si>
    <t>6 Industrial Dr. Arden, NC 28704</t>
  </si>
  <si>
    <t>Ilana Williams</t>
  </si>
  <si>
    <t>ilana@wilplate.com</t>
  </si>
  <si>
    <t>(828) 676-4337</t>
  </si>
  <si>
    <t>Quality and Compliance Manager</t>
  </si>
  <si>
    <t>100%</t>
  </si>
  <si>
    <t>Most recent revisions of RMI CMRT report</t>
  </si>
  <si>
    <t>Bairro Guarapiranga</t>
  </si>
  <si>
    <t>www.williamsplating.com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</si>
</sst>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skstation\Admin\Conflict%20Minerals\WPC%20Completed%20Form\Archive\WPC%20RMI_CMRT_6.4%204-29-2024%20IVW.xlsx" TargetMode="External"/><Relationship Id="rId1" Type="http://schemas.openxmlformats.org/officeDocument/2006/relationships/externalLinkPath" Target="Archive/WPC%20RMI_CMRT_6.4%204-29-2024%20IV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lana@wilpla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williamsplating.com/" TargetMode="External"/><Relationship Id="rId4" Type="http://schemas.openxmlformats.org/officeDocument/2006/relationships/hyperlink" Target="mailto:ilana@wilpla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9C5172-66C3-4B91-9189-D2050EAE787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239D2F-165E-46DC-9062-B5E86E8EB75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0"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9" zoomScalePageLayoutView="70" workbookViewId="0">
      <selection activeCell="G78" sqref="G7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15824</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468032E-116F-459B-ADD6-02B0EDD09BEB}"/>
    <hyperlink ref="D20" r:id="rId4" xr:uid="{267B7B25-7A61-425A-9530-1C84A89F7D55}"/>
    <hyperlink ref="G77" r:id="rId5" xr:uid="{318A1BEE-4F7C-4AEE-A96C-0A4C7F7A4AC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 zoomScaleNormal="100" zoomScalePageLayoutView="55" workbookViewId="0">
      <selection activeCell="C10" sqref="C1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670</v>
      </c>
      <c r="B5" s="182" t="s">
        <v>1098</v>
      </c>
      <c r="C5" s="186" t="s">
        <v>2238</v>
      </c>
      <c r="D5" s="230"/>
      <c r="E5" s="182" t="s">
        <v>1066</v>
      </c>
      <c r="F5" s="182" t="s">
        <v>670</v>
      </c>
      <c r="G5" s="182" t="s">
        <v>13177</v>
      </c>
      <c r="H5" s="183">
        <v>0</v>
      </c>
      <c r="I5" s="184" t="s">
        <v>1568</v>
      </c>
      <c r="J5" s="184" t="s">
        <v>1569</v>
      </c>
      <c r="K5" s="224"/>
      <c r="L5" s="224"/>
      <c r="M5" s="224"/>
      <c r="N5" s="224"/>
      <c r="O5" s="224"/>
      <c r="P5" s="185"/>
      <c r="Q5" s="225"/>
      <c r="R5" s="182" t="s">
        <v>2238</v>
      </c>
      <c r="S5" s="181" t="str">
        <f ca="1">IF(B5="","",IF(ISERROR(MATCH($E5,CL,0)),"Unknown",INDIRECT("'C'!$A$"&amp;MATCH($E5,CL,0)+1)))</f>
        <v>CA</v>
      </c>
      <c r="T5" s="181" t="str">
        <f ca="1">IF(B5="","",IF(ISERROR(MATCH($J5,[1]SorP!$B$1:$B$6226,0)),"",INDIRECT("'SorP'!$A$"&amp;MATCH($S5&amp;$J5,[1]SorP!C:C,0))))</f>
        <v>CA-ON</v>
      </c>
      <c r="U5" s="201"/>
      <c r="V5" s="226">
        <f>IF(C5="",NA(),IF(OR(C5="Smelter not listed",C5="Smelter not yet identified"),MATCH($B5&amp;$D5,'[1]Smelter Look-up'!$J:$J,0),MATCH($B5&amp;$C5,'[1]Smelter Look-up'!$J:$J,0)))</f>
        <v>30</v>
      </c>
      <c r="X5" s="227">
        <f t="shared" ref="X5:X21" si="0">IF(AND(C5="Smelter not listed",OR(LEN(D5)=0,LEN(E5)=0)),1,0)</f>
        <v>0</v>
      </c>
      <c r="AB5" s="228" t="str">
        <f t="shared" ref="AB5:AB21" si="1">B5&amp;C5</f>
        <v>GoldAsahi Refining Canada Ltd.</v>
      </c>
    </row>
    <row r="6" spans="1:34" s="227" customFormat="1" ht="19.95" customHeight="1">
      <c r="A6" s="262" t="s">
        <v>660</v>
      </c>
      <c r="B6" s="182" t="s">
        <v>1098</v>
      </c>
      <c r="C6" s="186" t="s">
        <v>2452</v>
      </c>
      <c r="D6" s="230"/>
      <c r="E6" s="182" t="s">
        <v>1069</v>
      </c>
      <c r="F6" s="182" t="s">
        <v>660</v>
      </c>
      <c r="G6" s="182" t="s">
        <v>13177</v>
      </c>
      <c r="H6" s="183">
        <v>0</v>
      </c>
      <c r="I6" s="184" t="s">
        <v>1555</v>
      </c>
      <c r="J6" s="184" t="s">
        <v>15604</v>
      </c>
      <c r="K6" s="224"/>
      <c r="L6" s="224"/>
      <c r="M6" s="224"/>
      <c r="N6" s="224"/>
      <c r="O6" s="224"/>
      <c r="P6" s="185"/>
      <c r="Q6" s="225"/>
      <c r="R6" s="182" t="s">
        <v>2452</v>
      </c>
      <c r="S6" s="181" t="str">
        <f t="shared" ref="S6:S21" ca="1" si="2">IF(B6="","",IF(ISERROR(MATCH($E6,CL,0)),"Unknown",INDIRECT("'C'!$A$"&amp;MATCH($E6,CL,0)+1)))</f>
        <v>CN</v>
      </c>
      <c r="T6" s="181" t="str">
        <f ca="1">IF(B6="","",IF(ISERROR(MATCH($J6,[1]SorP!$B$1:$B$6226,0)),"",INDIRECT("'SorP'!$A$"&amp;MATCH($S6&amp;$J6,[1]SorP!C:C,0))))</f>
        <v>CN-HK</v>
      </c>
      <c r="U6" s="201"/>
      <c r="V6" s="226">
        <f>IF(C6="",NA(),IF(OR(C6="Smelter not listed",C6="Smelter not yet identified"),MATCH($B6&amp;$D6,'[1]Smelter Look-up'!$J:$J,0),MATCH($B6&amp;$C6,'[1]Smelter Look-up'!$J:$J,0)))</f>
        <v>111</v>
      </c>
      <c r="X6" s="227">
        <f t="shared" si="0"/>
        <v>0</v>
      </c>
      <c r="AB6" s="228" t="str">
        <f t="shared" si="1"/>
        <v>GoldHeraeus Metals Hong Kong Ltd.</v>
      </c>
    </row>
    <row r="7" spans="1:34" s="227" customFormat="1" ht="19.95" customHeight="1">
      <c r="A7" s="262" t="s">
        <v>676</v>
      </c>
      <c r="B7" s="182" t="s">
        <v>1098</v>
      </c>
      <c r="C7" s="186" t="s">
        <v>675</v>
      </c>
      <c r="D7" s="230"/>
      <c r="E7" s="182" t="s">
        <v>2384</v>
      </c>
      <c r="F7" s="182" t="s">
        <v>676</v>
      </c>
      <c r="G7" s="182" t="s">
        <v>13177</v>
      </c>
      <c r="H7" s="183">
        <v>0</v>
      </c>
      <c r="I7" s="184" t="s">
        <v>1573</v>
      </c>
      <c r="J7" s="184" t="s">
        <v>1566</v>
      </c>
      <c r="K7" s="224"/>
      <c r="L7" s="224"/>
      <c r="M7" s="224"/>
      <c r="N7" s="224"/>
      <c r="O7" s="224"/>
      <c r="P7" s="185"/>
      <c r="Q7" s="225"/>
      <c r="R7" s="182" t="s">
        <v>675</v>
      </c>
      <c r="S7" s="181" t="str">
        <f t="shared" ca="1" si="2"/>
        <v>US</v>
      </c>
      <c r="T7" s="181" t="str">
        <f ca="1">IF(B7="","",IF(ISERROR(MATCH($J7,[1]SorP!$B$1:$B$6226,0)),"",INDIRECT("'SorP'!$A$"&amp;MATCH($S7&amp;$J7,[1]SorP!C:C,0))))</f>
        <v>US-UT</v>
      </c>
      <c r="U7" s="201"/>
      <c r="V7" s="226">
        <f>IF(C7="",NA(),IF(OR(C7="Smelter not listed",C7="Smelter not yet identified"),MATCH($B7&amp;$D7,'[1]Smelter Look-up'!$J:$J,0),MATCH($B7&amp;$C7,'[1]Smelter Look-up'!$J:$J,0)))</f>
        <v>146</v>
      </c>
      <c r="X7" s="227">
        <f t="shared" si="0"/>
        <v>0</v>
      </c>
      <c r="AB7" s="228" t="str">
        <f t="shared" si="1"/>
        <v>GoldKennecott Utah Copper LLC</v>
      </c>
    </row>
    <row r="8" spans="1:34" s="227" customFormat="1" ht="19.95" customHeight="1">
      <c r="A8" s="262" t="s">
        <v>689</v>
      </c>
      <c r="B8" s="182" t="s">
        <v>1098</v>
      </c>
      <c r="C8" s="186" t="s">
        <v>1195</v>
      </c>
      <c r="D8" s="230"/>
      <c r="E8" s="182" t="s">
        <v>2384</v>
      </c>
      <c r="F8" s="182" t="s">
        <v>689</v>
      </c>
      <c r="G8" s="182" t="s">
        <v>13177</v>
      </c>
      <c r="H8" s="183">
        <v>0</v>
      </c>
      <c r="I8" s="184" t="s">
        <v>1590</v>
      </c>
      <c r="J8" s="184" t="s">
        <v>1591</v>
      </c>
      <c r="K8" s="224"/>
      <c r="L8" s="224"/>
      <c r="M8" s="224"/>
      <c r="N8" s="224"/>
      <c r="O8" s="224"/>
      <c r="P8" s="185"/>
      <c r="Q8" s="225"/>
      <c r="R8" s="182" t="s">
        <v>1195</v>
      </c>
      <c r="S8" s="181" t="str">
        <f t="shared" ca="1" si="2"/>
        <v>US</v>
      </c>
      <c r="T8" s="181" t="str">
        <f ca="1">IF(B8="","",IF(ISERROR(MATCH($J8,[1]SorP!$B$1:$B$6226,0)),"",INDIRECT("'SorP'!$A$"&amp;MATCH($S8&amp;$J8,[1]SorP!C:C,0))))</f>
        <v>US-MA</v>
      </c>
      <c r="U8" s="201"/>
      <c r="V8" s="226">
        <f>IF(C8="",NA(),IF(OR(C8="Smelter not listed",C8="Smelter not yet identified"),MATCH($B8&amp;$D8,'[1]Smelter Look-up'!$J:$J,0),MATCH($B8&amp;$C8,'[1]Smelter Look-up'!$J:$J,0)))</f>
        <v>187</v>
      </c>
      <c r="X8" s="227">
        <f t="shared" si="0"/>
        <v>0</v>
      </c>
      <c r="AB8" s="228" t="str">
        <f t="shared" si="1"/>
        <v>GoldMetalor USA Refining Corporation</v>
      </c>
    </row>
    <row r="9" spans="1:34" s="227" customFormat="1" ht="19.95" customHeight="1">
      <c r="A9" s="262" t="s">
        <v>690</v>
      </c>
      <c r="B9" s="182" t="s">
        <v>1098</v>
      </c>
      <c r="C9" s="186" t="s">
        <v>12376</v>
      </c>
      <c r="D9" s="230"/>
      <c r="E9" s="182" t="s">
        <v>1082</v>
      </c>
      <c r="F9" s="182" t="s">
        <v>690</v>
      </c>
      <c r="G9" s="182" t="s">
        <v>13177</v>
      </c>
      <c r="H9" s="183">
        <v>0</v>
      </c>
      <c r="I9" s="184" t="s">
        <v>1592</v>
      </c>
      <c r="J9" s="184" t="s">
        <v>12832</v>
      </c>
      <c r="K9" s="224"/>
      <c r="L9" s="224"/>
      <c r="M9" s="224"/>
      <c r="N9" s="224"/>
      <c r="O9" s="224"/>
      <c r="P9" s="185"/>
      <c r="Q9" s="225"/>
      <c r="R9" s="182" t="s">
        <v>12376</v>
      </c>
      <c r="S9" s="181" t="str">
        <f t="shared" ca="1" si="2"/>
        <v>MX</v>
      </c>
      <c r="T9" s="181" t="str">
        <f ca="1">IF(B9="","",IF(ISERROR(MATCH($J9,[1]SorP!$B$1:$B$6226,0)),"",INDIRECT("'SorP'!$A$"&amp;MATCH($S9&amp;$J9,[1]SorP!C:C,0))))</f>
        <v>MX-COA</v>
      </c>
      <c r="U9" s="201"/>
      <c r="V9" s="226">
        <f>IF(C9="",NA(),IF(OR(C9="Smelter not listed",C9="Smelter not yet identified"),MATCH($B9&amp;$D9,'[1]Smelter Look-up'!$J:$J,0),MATCH($B9&amp;$C9,'[1]Smelter Look-up'!$J:$J,0)))</f>
        <v>188</v>
      </c>
      <c r="X9" s="227">
        <f t="shared" si="0"/>
        <v>0</v>
      </c>
      <c r="AB9" s="228" t="str">
        <f t="shared" si="1"/>
        <v>GoldMetalurgica Met-Mex Penoles S.A. De C.V.</v>
      </c>
    </row>
    <row r="10" spans="1:34" s="227" customFormat="1" ht="19.95" customHeight="1">
      <c r="A10" s="262" t="s">
        <v>705</v>
      </c>
      <c r="B10" s="182" t="s">
        <v>1098</v>
      </c>
      <c r="C10" s="186" t="s">
        <v>884</v>
      </c>
      <c r="D10" s="230"/>
      <c r="E10" s="182" t="s">
        <v>1066</v>
      </c>
      <c r="F10" s="182" t="s">
        <v>705</v>
      </c>
      <c r="G10" s="182" t="s">
        <v>13177</v>
      </c>
      <c r="H10" s="183">
        <v>0</v>
      </c>
      <c r="I10" s="184" t="s">
        <v>1611</v>
      </c>
      <c r="J10" s="184" t="s">
        <v>1569</v>
      </c>
      <c r="K10" s="224"/>
      <c r="L10" s="224"/>
      <c r="M10" s="224"/>
      <c r="N10" s="224"/>
      <c r="O10" s="224"/>
      <c r="P10" s="185"/>
      <c r="Q10" s="225"/>
      <c r="R10" s="182" t="s">
        <v>884</v>
      </c>
      <c r="S10" s="181" t="str">
        <f t="shared" ca="1" si="2"/>
        <v>CA</v>
      </c>
      <c r="T10" s="181" t="str">
        <f ca="1">IF(B10="","",IF(ISERROR(MATCH($J10,[1]SorP!$B$1:$B$6226,0)),"",INDIRECT("'SorP'!$A$"&amp;MATCH($S10&amp;$J10,[1]SorP!C:C,0))))</f>
        <v>CA-ON</v>
      </c>
      <c r="U10" s="201"/>
      <c r="V10" s="226">
        <f>IF(C10="",NA(),IF(OR(C10="Smelter not listed",C10="Smelter not yet identified"),MATCH($B10&amp;$D10,'[1]Smelter Look-up'!$J:$J,0),MATCH($B10&amp;$C10,'[1]Smelter Look-up'!$J:$J,0)))</f>
        <v>232</v>
      </c>
      <c r="X10" s="227">
        <f t="shared" si="0"/>
        <v>0</v>
      </c>
      <c r="AB10" s="228" t="str">
        <f t="shared" si="1"/>
        <v>GoldRoyal Canadian Mint</v>
      </c>
    </row>
    <row r="11" spans="1:34" s="227" customFormat="1" ht="19.95" customHeight="1">
      <c r="A11" s="262" t="s">
        <v>1772</v>
      </c>
      <c r="B11" s="182" t="s">
        <v>1099</v>
      </c>
      <c r="C11" s="186" t="s">
        <v>15341</v>
      </c>
      <c r="D11" s="230"/>
      <c r="E11" s="182" t="s">
        <v>1064</v>
      </c>
      <c r="F11" s="182" t="s">
        <v>1772</v>
      </c>
      <c r="G11" s="182" t="s">
        <v>13177</v>
      </c>
      <c r="H11" s="183">
        <v>0</v>
      </c>
      <c r="I11" s="184" t="s">
        <v>1773</v>
      </c>
      <c r="J11" s="184" t="s">
        <v>3104</v>
      </c>
      <c r="K11" s="224"/>
      <c r="L11" s="224"/>
      <c r="M11" s="224"/>
      <c r="N11" s="224"/>
      <c r="O11" s="224"/>
      <c r="P11" s="185"/>
      <c r="Q11" s="225"/>
      <c r="R11" s="182" t="s">
        <v>15341</v>
      </c>
      <c r="S11" s="181" t="str">
        <f t="shared" ca="1" si="2"/>
        <v>BE</v>
      </c>
      <c r="T11" s="181" t="str">
        <f ca="1">IF(B11="","",IF(ISERROR(MATCH($J11,[1]SorP!$B$1:$B$6226,0)),"",INDIRECT("'SorP'!$A$"&amp;MATCH($S11&amp;$J11,[1]SorP!C:C,0))))</f>
        <v>BE-VAN</v>
      </c>
      <c r="U11" s="201"/>
      <c r="V11" s="226">
        <f>IF(C11="",NA(),IF(OR(C11="Smelter not listed",C11="Smelter not yet identified"),MATCH($B11&amp;$D11,'[1]Smelter Look-up'!$J:$J,0),MATCH($B11&amp;$C11,'[1]Smelter Look-up'!$J:$J,0)))</f>
        <v>405</v>
      </c>
      <c r="X11" s="227">
        <f t="shared" si="0"/>
        <v>0</v>
      </c>
      <c r="AB11" s="228" t="str">
        <f t="shared" si="1"/>
        <v>TinAurubis Beerse</v>
      </c>
    </row>
    <row r="12" spans="1:34" s="227" customFormat="1" ht="19.95" customHeight="1">
      <c r="A12" s="262" t="s">
        <v>759</v>
      </c>
      <c r="B12" s="182" t="s">
        <v>1099</v>
      </c>
      <c r="C12" s="186" t="s">
        <v>610</v>
      </c>
      <c r="D12" s="230"/>
      <c r="E12" s="182" t="s">
        <v>1074</v>
      </c>
      <c r="F12" s="182" t="s">
        <v>759</v>
      </c>
      <c r="G12" s="182" t="s">
        <v>13177</v>
      </c>
      <c r="H12" s="183">
        <v>0</v>
      </c>
      <c r="I12" s="184" t="s">
        <v>1726</v>
      </c>
      <c r="J12" s="184" t="s">
        <v>12799</v>
      </c>
      <c r="K12" s="224"/>
      <c r="L12" s="224"/>
      <c r="M12" s="224"/>
      <c r="N12" s="224"/>
      <c r="O12" s="224"/>
      <c r="P12" s="185"/>
      <c r="Q12" s="225"/>
      <c r="R12" s="182" t="s">
        <v>610</v>
      </c>
      <c r="S12" s="181" t="str">
        <f t="shared" ca="1" si="2"/>
        <v>ID</v>
      </c>
      <c r="T12" s="181" t="str">
        <f ca="1">IF(B12="","",IF(ISERROR(MATCH($J12,[1]SorP!$B$1:$B$6226,0)),"",INDIRECT("'SorP'!$A$"&amp;MATCH($S12&amp;$J12,[1]SorP!C:C,0))))</f>
        <v>ID-BB</v>
      </c>
      <c r="U12" s="201"/>
      <c r="V12" s="226">
        <f>IF(C12="",NA(),IF(OR(C12="Smelter not listed",C12="Smelter not yet identified"),MATCH($B12&amp;$D12,'[1]Smelter Look-up'!$J:$J,0),MATCH($B12&amp;$C12,'[1]Smelter Look-up'!$J:$J,0)))</f>
        <v>518</v>
      </c>
      <c r="X12" s="227">
        <f t="shared" si="0"/>
        <v>0</v>
      </c>
      <c r="AB12" s="228" t="str">
        <f t="shared" si="1"/>
        <v>TinPT Mitra Stania Prima</v>
      </c>
    </row>
    <row r="13" spans="1:34" s="227" customFormat="1" ht="19.95" customHeight="1">
      <c r="A13" s="262" t="s">
        <v>764</v>
      </c>
      <c r="B13" s="182" t="s">
        <v>1099</v>
      </c>
      <c r="C13" s="186" t="s">
        <v>2484</v>
      </c>
      <c r="D13" s="230"/>
      <c r="E13" s="182" t="s">
        <v>1065</v>
      </c>
      <c r="F13" s="182" t="s">
        <v>764</v>
      </c>
      <c r="G13" s="182" t="s">
        <v>13177</v>
      </c>
      <c r="H13" s="183">
        <v>0</v>
      </c>
      <c r="I13" s="184" t="s">
        <v>1725</v>
      </c>
      <c r="J13" s="184" t="s">
        <v>1729</v>
      </c>
      <c r="K13" s="224"/>
      <c r="L13" s="224"/>
      <c r="M13" s="224"/>
      <c r="N13" s="224"/>
      <c r="O13" s="224"/>
      <c r="P13" s="185"/>
      <c r="Q13" s="225"/>
      <c r="R13" s="182" t="s">
        <v>2484</v>
      </c>
      <c r="S13" s="181" t="str">
        <f t="shared" ca="1" si="2"/>
        <v>BR</v>
      </c>
      <c r="T13" s="181" t="str">
        <f ca="1">IF(B13="","",IF(ISERROR(MATCH($J13,[1]SorP!$B$1:$B$6226,0)),"",INDIRECT("'SorP'!$A$"&amp;MATCH($S13&amp;$J13,[1]SorP!C:C,0))))</f>
        <v>BR-RO</v>
      </c>
      <c r="U13" s="201"/>
      <c r="V13" s="226">
        <f>IF(C13="",NA(),IF(OR(C13="Smelter not listed",C13="Smelter not yet identified"),MATCH($B13&amp;$D13,'[1]Smelter Look-up'!$J:$J,0),MATCH($B13&amp;$C13,'[1]Smelter Look-up'!$J:$J,0)))</f>
        <v>556</v>
      </c>
      <c r="X13" s="227">
        <f t="shared" si="0"/>
        <v>0</v>
      </c>
      <c r="AB13" s="228" t="str">
        <f t="shared" si="1"/>
        <v>TinWhite Solder Metalurgia e Mineracao Ltda.</v>
      </c>
    </row>
    <row r="14" spans="1:34" s="227" customFormat="1" ht="19.95" customHeight="1">
      <c r="A14" s="262" t="s">
        <v>753</v>
      </c>
      <c r="B14" s="182" t="s">
        <v>1099</v>
      </c>
      <c r="C14" s="186" t="s">
        <v>12377</v>
      </c>
      <c r="D14" s="230"/>
      <c r="E14" s="182" t="s">
        <v>1065</v>
      </c>
      <c r="F14" s="182" t="s">
        <v>753</v>
      </c>
      <c r="G14" s="182" t="s">
        <v>13177</v>
      </c>
      <c r="H14" s="183">
        <v>0</v>
      </c>
      <c r="I14" s="184" t="s">
        <v>15825</v>
      </c>
      <c r="J14" s="184" t="s">
        <v>1640</v>
      </c>
      <c r="K14" s="224"/>
      <c r="L14" s="224"/>
      <c r="M14" s="224"/>
      <c r="N14" s="224"/>
      <c r="O14" s="224"/>
      <c r="P14" s="185"/>
      <c r="Q14" s="225"/>
      <c r="R14" s="182" t="s">
        <v>12377</v>
      </c>
      <c r="S14" s="181" t="str">
        <f t="shared" ca="1" si="2"/>
        <v>BR</v>
      </c>
      <c r="T14" s="181" t="str">
        <f ca="1">IF(B14="","",IF(ISERROR(MATCH($J14,[1]SorP!$B$1:$B$6226,0)),"",INDIRECT("'SorP'!$A$"&amp;MATCH($S14&amp;$J14,[1]SorP!C:C,0))))</f>
        <v>BR-SP</v>
      </c>
      <c r="U14" s="201"/>
      <c r="V14" s="226">
        <f>IF(C14="",NA(),IF(OR(C14="Smelter not listed",C14="Smelter not yet identified"),MATCH($B14&amp;$D14,'[1]Smelter Look-up'!$J:$J,0),MATCH($B14&amp;$C14,'[1]Smelter Look-up'!$J:$J,0)))</f>
        <v>482</v>
      </c>
      <c r="X14" s="227">
        <f t="shared" si="0"/>
        <v>0</v>
      </c>
      <c r="AB14" s="228" t="str">
        <f t="shared" si="1"/>
        <v>TinMineracao Taboca S.A.</v>
      </c>
    </row>
    <row r="15" spans="1:34" s="227" customFormat="1" ht="19.95" customHeight="1">
      <c r="A15" s="262" t="s">
        <v>745</v>
      </c>
      <c r="B15" s="182" t="s">
        <v>1099</v>
      </c>
      <c r="C15" s="186" t="s">
        <v>814</v>
      </c>
      <c r="D15" s="230"/>
      <c r="E15" s="182" t="s">
        <v>2382</v>
      </c>
      <c r="F15" s="182" t="s">
        <v>745</v>
      </c>
      <c r="G15" s="182" t="s">
        <v>13177</v>
      </c>
      <c r="H15" s="183">
        <v>0</v>
      </c>
      <c r="I15" s="184" t="s">
        <v>1728</v>
      </c>
      <c r="J15" s="184" t="s">
        <v>1728</v>
      </c>
      <c r="K15" s="224"/>
      <c r="L15" s="224"/>
      <c r="M15" s="224"/>
      <c r="N15" s="224"/>
      <c r="O15" s="224"/>
      <c r="P15" s="185"/>
      <c r="Q15" s="225"/>
      <c r="R15" s="182" t="s">
        <v>814</v>
      </c>
      <c r="S15" s="181" t="str">
        <f t="shared" ca="1" si="2"/>
        <v>BO</v>
      </c>
      <c r="T15" s="181" t="str">
        <f ca="1">IF(B15="","",IF(ISERROR(MATCH($J15,[1]SorP!$B$1:$B$6226,0)),"",INDIRECT("'SorP'!$A$"&amp;MATCH($S15&amp;$J15,[1]SorP!C:C,0))))</f>
        <v>BO-O</v>
      </c>
      <c r="U15" s="201"/>
      <c r="V15" s="226">
        <f>IF(C15="",NA(),IF(OR(C15="Smelter not listed",C15="Smelter not yet identified"),MATCH($B15&amp;$D15,'[1]Smelter Look-up'!$J:$J,0),MATCH($B15&amp;$C15,'[1]Smelter Look-up'!$J:$J,0)))</f>
        <v>433</v>
      </c>
      <c r="X15" s="227">
        <f t="shared" si="0"/>
        <v>0</v>
      </c>
      <c r="AB15" s="228" t="str">
        <f t="shared" si="1"/>
        <v>TinEM Vinto</v>
      </c>
    </row>
    <row r="16" spans="1:34" s="227" customFormat="1" ht="19.95" customHeight="1">
      <c r="A16" s="262" t="s">
        <v>752</v>
      </c>
      <c r="B16" s="182" t="s">
        <v>1099</v>
      </c>
      <c r="C16" s="186" t="s">
        <v>793</v>
      </c>
      <c r="D16" s="230"/>
      <c r="E16" s="182" t="s">
        <v>1084</v>
      </c>
      <c r="F16" s="182" t="s">
        <v>752</v>
      </c>
      <c r="G16" s="182" t="s">
        <v>13177</v>
      </c>
      <c r="H16" s="183">
        <v>0</v>
      </c>
      <c r="I16" s="184" t="s">
        <v>1739</v>
      </c>
      <c r="J16" s="184" t="s">
        <v>8635</v>
      </c>
      <c r="K16" s="224"/>
      <c r="L16" s="224"/>
      <c r="M16" s="224"/>
      <c r="N16" s="224"/>
      <c r="O16" s="224"/>
      <c r="P16" s="185"/>
      <c r="Q16" s="225"/>
      <c r="R16" s="182" t="s">
        <v>793</v>
      </c>
      <c r="S16" s="181" t="str">
        <f t="shared" ca="1" si="2"/>
        <v>MY</v>
      </c>
      <c r="T16" s="181" t="str">
        <f ca="1">IF(B16="","",IF(ISERROR(MATCH($J16,[1]SorP!$B$1:$B$6226,0)),"",INDIRECT("'SorP'!$A$"&amp;MATCH($S16&amp;$J16,[1]SorP!C:C,0))))</f>
        <v>MY-07</v>
      </c>
      <c r="U16" s="201"/>
      <c r="V16" s="226">
        <f>IF(C16="",NA(),IF(OR(C16="Smelter not listed",C16="Smelter not yet identified"),MATCH($B16&amp;$D16,'[1]Smelter Look-up'!$J:$J,0),MATCH($B16&amp;$C16,'[1]Smelter Look-up'!$J:$J,0)))</f>
        <v>474</v>
      </c>
      <c r="X16" s="227">
        <f t="shared" si="0"/>
        <v>0</v>
      </c>
      <c r="AB16" s="228" t="str">
        <f t="shared" si="1"/>
        <v>TinMalaysia Smelting Corporation (MSC)</v>
      </c>
    </row>
    <row r="17" spans="1:28" s="227" customFormat="1" ht="19.95" customHeight="1">
      <c r="A17" s="262" t="s">
        <v>763</v>
      </c>
      <c r="B17" s="182" t="s">
        <v>1099</v>
      </c>
      <c r="C17" s="186" t="s">
        <v>1000</v>
      </c>
      <c r="D17" s="230"/>
      <c r="E17" s="182" t="s">
        <v>859</v>
      </c>
      <c r="F17" s="182" t="s">
        <v>763</v>
      </c>
      <c r="G17" s="182" t="s">
        <v>13177</v>
      </c>
      <c r="H17" s="183">
        <v>0</v>
      </c>
      <c r="I17" s="184" t="s">
        <v>1752</v>
      </c>
      <c r="J17" s="184" t="s">
        <v>1753</v>
      </c>
      <c r="K17" s="224"/>
      <c r="L17" s="224"/>
      <c r="M17" s="224"/>
      <c r="N17" s="224"/>
      <c r="O17" s="224"/>
      <c r="P17" s="185"/>
      <c r="Q17" s="225"/>
      <c r="R17" s="182" t="s">
        <v>1000</v>
      </c>
      <c r="S17" s="181" t="str">
        <f t="shared" ca="1" si="2"/>
        <v>TH</v>
      </c>
      <c r="T17" s="181" t="str">
        <f ca="1">IF(B17="","",IF(ISERROR(MATCH($J17,[1]SorP!$B$1:$B$6226,0)),"",INDIRECT("'SorP'!$A$"&amp;MATCH($S17&amp;$J17,[1]SorP!C:C,0))))</f>
        <v>TH-83</v>
      </c>
      <c r="U17" s="201"/>
      <c r="V17" s="226">
        <f>IF(C17="",NA(),IF(OR(C17="Smelter not listed",C17="Smelter not yet identified"),MATCH($B17&amp;$D17,'[1]Smelter Look-up'!$J:$J,0),MATCH($B17&amp;$C17,'[1]Smelter Look-up'!$J:$J,0)))</f>
        <v>547</v>
      </c>
      <c r="X17" s="227">
        <f t="shared" si="0"/>
        <v>0</v>
      </c>
      <c r="AB17" s="228" t="str">
        <f t="shared" si="1"/>
        <v>TinThaisarco</v>
      </c>
    </row>
    <row r="18" spans="1:28" s="227" customFormat="1" ht="19.95" customHeight="1">
      <c r="A18" s="181" t="s">
        <v>777</v>
      </c>
      <c r="B18" s="182" t="s">
        <v>1099</v>
      </c>
      <c r="C18" s="186" t="s">
        <v>13714</v>
      </c>
      <c r="D18" s="230"/>
      <c r="E18" s="182" t="s">
        <v>1074</v>
      </c>
      <c r="F18" s="182" t="s">
        <v>777</v>
      </c>
      <c r="G18" s="182" t="s">
        <v>13177</v>
      </c>
      <c r="H18" s="183">
        <v>0</v>
      </c>
      <c r="I18" s="184" t="s">
        <v>1749</v>
      </c>
      <c r="J18" s="184" t="s">
        <v>6016</v>
      </c>
      <c r="K18" s="224"/>
      <c r="L18" s="224"/>
      <c r="M18" s="224"/>
      <c r="N18" s="224"/>
      <c r="O18" s="224"/>
      <c r="P18" s="185"/>
      <c r="Q18" s="225"/>
      <c r="R18" s="182" t="s">
        <v>13714</v>
      </c>
      <c r="S18" s="181" t="str">
        <f t="shared" ca="1" si="2"/>
        <v>ID</v>
      </c>
      <c r="T18" s="181" t="str">
        <f ca="1">IF(B18="","",IF(ISERROR(MATCH($J18,[1]SorP!$B$1:$B$6226,0)),"",INDIRECT("'SorP'!$A$"&amp;MATCH($S18&amp;$J18,[1]SorP!C:C,0))))</f>
        <v>ID-RI</v>
      </c>
      <c r="U18" s="201"/>
      <c r="V18" s="226">
        <f>IF(C18="",NA(),IF(OR(C18="Smelter not listed",C18="Smelter not yet identified"),MATCH($B18&amp;$D18,'[1]Smelter Look-up'!$J:$J,0),MATCH($B18&amp;$C18,'[1]Smelter Look-up'!$J:$J,0)))</f>
        <v>532</v>
      </c>
      <c r="X18" s="227">
        <f t="shared" si="0"/>
        <v>0</v>
      </c>
      <c r="AB18" s="228" t="str">
        <f t="shared" si="1"/>
        <v>TinPT Timah Tbk Kundur</v>
      </c>
    </row>
    <row r="19" spans="1:28" s="227" customFormat="1" ht="50.4">
      <c r="A19" s="181" t="s">
        <v>760</v>
      </c>
      <c r="B19" s="182" t="s">
        <v>1099</v>
      </c>
      <c r="C19" s="186" t="s">
        <v>13713</v>
      </c>
      <c r="D19" s="230"/>
      <c r="E19" s="182" t="s">
        <v>1074</v>
      </c>
      <c r="F19" s="182" t="s">
        <v>760</v>
      </c>
      <c r="G19" s="182" t="s">
        <v>13177</v>
      </c>
      <c r="H19" s="183">
        <v>0</v>
      </c>
      <c r="I19" s="184" t="s">
        <v>1751</v>
      </c>
      <c r="J19" s="184" t="s">
        <v>12799</v>
      </c>
      <c r="K19" s="224"/>
      <c r="L19" s="224"/>
      <c r="M19" s="224"/>
      <c r="N19" s="224"/>
      <c r="O19" s="224"/>
      <c r="P19" s="185"/>
      <c r="Q19" s="225"/>
      <c r="R19" s="182" t="s">
        <v>13713</v>
      </c>
      <c r="S19" s="181" t="str">
        <f t="shared" ca="1" si="2"/>
        <v>ID</v>
      </c>
      <c r="T19" s="181" t="str">
        <f ca="1">IF(B19="","",IF(ISERROR(MATCH($J19,[1]SorP!$B$1:$B$6226,0)),"",INDIRECT("'SorP'!$A$"&amp;MATCH($S19&amp;$J19,[1]SorP!C:C,0))))</f>
        <v>ID-BB</v>
      </c>
      <c r="U19" s="201"/>
      <c r="V19" s="226">
        <f>IF(C19="",NA(),IF(OR(C19="Smelter not listed",C19="Smelter not yet identified"),MATCH($B19&amp;$D19,'[1]Smelter Look-up'!$J:$J,0),MATCH($B19&amp;$C19,'[1]Smelter Look-up'!$J:$J,0)))</f>
        <v>533</v>
      </c>
      <c r="X19" s="227">
        <f t="shared" si="0"/>
        <v>0</v>
      </c>
      <c r="AB19" s="228" t="str">
        <f t="shared" si="1"/>
        <v>TinPT Timah Tbk Mentok</v>
      </c>
    </row>
    <row r="20" spans="1:28" s="227" customFormat="1" ht="25.2">
      <c r="A20" s="181" t="s">
        <v>754</v>
      </c>
      <c r="B20" s="182" t="s">
        <v>1099</v>
      </c>
      <c r="C20" s="186" t="s">
        <v>1003</v>
      </c>
      <c r="D20" s="230"/>
      <c r="E20" s="182" t="s">
        <v>851</v>
      </c>
      <c r="F20" s="182" t="s">
        <v>754</v>
      </c>
      <c r="G20" s="182" t="s">
        <v>13177</v>
      </c>
      <c r="H20" s="183">
        <v>0</v>
      </c>
      <c r="I20" s="184" t="s">
        <v>1743</v>
      </c>
      <c r="J20" s="184" t="s">
        <v>9062</v>
      </c>
      <c r="K20" s="224"/>
      <c r="L20" s="224"/>
      <c r="M20" s="224"/>
      <c r="N20" s="224"/>
      <c r="O20" s="224"/>
      <c r="P20" s="185"/>
      <c r="Q20" s="225"/>
      <c r="R20" s="182" t="s">
        <v>1003</v>
      </c>
      <c r="S20" s="181" t="str">
        <f t="shared" ca="1" si="2"/>
        <v>PE</v>
      </c>
      <c r="T20" s="181" t="str">
        <f ca="1">IF(B20="","",IF(ISERROR(MATCH($J20,[1]SorP!$B$1:$B$6226,0)),"",INDIRECT("'SorP'!$A$"&amp;MATCH($S20&amp;$J20,[1]SorP!C:C,0))))</f>
        <v>PE-ICA</v>
      </c>
      <c r="U20" s="201"/>
      <c r="V20" s="226">
        <f>IF(C20="",NA(),IF(OR(C20="Smelter not listed",C20="Smelter not yet identified"),MATCH($B20&amp;$D20,'[1]Smelter Look-up'!$J:$J,0),MATCH($B20&amp;$C20,'[1]Smelter Look-up'!$J:$J,0)))</f>
        <v>487</v>
      </c>
      <c r="X20" s="227">
        <f t="shared" si="0"/>
        <v>0</v>
      </c>
      <c r="AB20" s="228" t="str">
        <f t="shared" si="1"/>
        <v>TinMinsur</v>
      </c>
    </row>
    <row r="21" spans="1:28" s="227" customFormat="1" ht="50.4">
      <c r="A21" s="181" t="s">
        <v>13122</v>
      </c>
      <c r="B21" s="182" t="s">
        <v>1099</v>
      </c>
      <c r="C21" s="186" t="s">
        <v>13121</v>
      </c>
      <c r="D21" s="230"/>
      <c r="E21" s="182" t="s">
        <v>2384</v>
      </c>
      <c r="F21" s="182" t="s">
        <v>13122</v>
      </c>
      <c r="G21" s="182" t="s">
        <v>13177</v>
      </c>
      <c r="H21" s="183">
        <v>0</v>
      </c>
      <c r="I21" s="184" t="s">
        <v>13123</v>
      </c>
      <c r="J21" s="184" t="s">
        <v>1699</v>
      </c>
      <c r="K21" s="224"/>
      <c r="L21" s="224"/>
      <c r="M21" s="224"/>
      <c r="N21" s="224"/>
      <c r="O21" s="224"/>
      <c r="P21" s="185"/>
      <c r="Q21" s="225"/>
      <c r="R21" s="182" t="s">
        <v>13121</v>
      </c>
      <c r="S21" s="181" t="str">
        <f t="shared" ca="1" si="2"/>
        <v>US</v>
      </c>
      <c r="T21" s="181" t="str">
        <f ca="1">IF(B21="","",IF(ISERROR(MATCH($J21,[1]SorP!$B$1:$B$6226,0)),"",INDIRECT("'SorP'!$A$"&amp;MATCH($S21&amp;$J21,[1]SorP!C:C,0))))</f>
        <v>US-PA</v>
      </c>
      <c r="U21" s="201"/>
      <c r="V21" s="226">
        <f>IF(C21="",NA(),IF(OR(C21="Smelter not listed",C21="Smelter not yet identified"),MATCH($B21&amp;$D21,'[1]Smelter Look-up'!$J:$J,0),MATCH($B21&amp;$C21,'[1]Smelter Look-up'!$J:$J,0)))</f>
        <v>551</v>
      </c>
      <c r="X21" s="227">
        <f t="shared" si="0"/>
        <v>0</v>
      </c>
      <c r="AB21" s="228" t="str">
        <f t="shared" si="1"/>
        <v>TinTin Technology &amp; Refining</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ref="S6:S37" ca="1" si="3">IF(B22="","",IF(ISERROR(MATCH($E22,CL,0)),"Unknown",INDIRECT("'C'!$A$"&amp;MATCH($E22,CL,0)+1)))</f>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ref="X6:X37" ca="1" si="4">IF(AND(C22="Smelter not listed",OR(LEN(D22)=0,LEN(E22)=0)),1,0)</f>
        <v>0</v>
      </c>
      <c r="AB22" s="228" t="str">
        <f t="shared" ref="AB6:AB37" si="5">B22&amp;C22</f>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A43B11-8D04-44A5-945B-ADD0AD0581A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Williams Plating Company,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Ilana Williams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ilana@wilplate.com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(828) 676-4337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Ilana Williams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ilana@wilplate.com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www.williamsplating.com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Ilana Williams</cp:lastModifiedBy>
  <cp:lastPrinted>2015-04-21T20:47:43Z</cp:lastPrinted>
  <dcterms:created xsi:type="dcterms:W3CDTF">2010-06-21T21:00:23Z</dcterms:created>
  <dcterms:modified xsi:type="dcterms:W3CDTF">2025-05-19T13:29:37Z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