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diskstation\Admin\Conflict Minerals\WPC Completed Form\"/>
    </mc:Choice>
  </mc:AlternateContent>
  <xr:revisionPtr revIDLastSave="0" documentId="13_ncr:1_{CE4E6088-E6D5-4CF9-9695-F8A71DA9C18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772" yWindow="84" windowWidth="18540" windowHeight="11988"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<sst xmlns="http://schemas.openxmlformats.org/spreadsheetml/2006/main" count="22346" uniqueCount="15807">
  <si>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</si>
  <si>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</si>
  <si>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</si>
  <si>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</si>
  <si>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</si>
  <si>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</si>
  <si>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</si>
  <si>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</si>
  <si>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</si>
  <si>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</si>
  <si>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</si>
  <si>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</si>
  <si>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</si>
  <si>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</si>
  <si>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</si>
  <si>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</si>
  <si>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</si>
  <si>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</si>
  <si>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</si>
  <si>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</si>
  <si>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</si>
  <si>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</si>
  <si>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</si>
  <si>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</si>
  <si>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</si>
  <si>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</si>
  <si>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</si>
  <si>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</si>
  <si>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</si>
  <si>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</si>
  <si>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</si>
  <si>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</si>
  <si>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</si>
  <si>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</si>
  <si>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</si>
  <si>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</si>
  <si>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</si>
  <si>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</si>
  <si>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</si>
  <si>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</si>
  <si>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</si>
  <si>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</si>
  <si>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</si>
  <si>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</si>
  <si>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</si>
  <si>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</si>
  <si>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</si>
  <si>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</si>
  <si>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</si>
  <si>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</si>
  <si>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</si>
  <si>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</si>
  <si>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</si>
  <si>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</si>
  <si>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</si>
  <si>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</si>
  <si>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</si>
  <si>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</si>
  <si>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</si>
  <si>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</si>
  <si>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</si>
  <si>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</si>
  <si>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</si>
  <si>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</si>
  <si>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</si>
  <si>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</si>
  <si>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</si>
  <si>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</si>
  <si>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</si>
  <si>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</si>
  <si>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</si>
  <si>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</si>
  <si>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</si>
  <si>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</si>
  <si>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</si>
  <si>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</si>
  <si>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</si>
  <si>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</si>
  <si>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</si>
  <si>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</si>
  <si>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</si>
  <si>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</si>
  <si>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</si>
  <si>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</si>
  <si>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</si>
  <si>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</si>
  <si>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</si>
  <si>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</si>
  <si>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</si>
  <si>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</si>
  <si>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</si>
  <si>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</si>
  <si>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</si>
  <si>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</si>
  <si>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</si>
  <si>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</si>
  <si>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</si>
  <si>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</si>
  <si>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</si>
  <si>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</si>
  <si>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</si>
  <si>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</si>
  <si>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</si>
  <si>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</si>
  <si>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</si>
  <si>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</si>
  <si>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</si>
  <si>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</si>
  <si>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</si>
  <si>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</si>
  <si>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</si>
  <si>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</si>
  <si>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</si>
  <si>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</si>
  <si>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</si>
  <si>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</si>
  <si>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</si>
  <si>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</si>
  <si>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</si>
  <si>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</si>
  <si>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</si>
  <si>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</si>
  <si>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</si>
  <si>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</si>
  <si>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</si>
  <si>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</si>
  <si>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</si>
  <si>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</si>
  <si>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</si>
  <si>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</si>
  <si>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</si>
  <si>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</si>
  <si>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</si>
  <si>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</si>
  <si>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</si>
  <si>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</si>
  <si>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</si>
  <si>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</si>
  <si>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</si>
  <si>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</si>
  <si>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</si>
  <si>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</si>
  <si>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</si>
  <si>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</si>
  <si>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</si>
  <si>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</si>
  <si>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</si>
  <si>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</si>
  <si>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</si>
  <si>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</si>
  <si>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</si>
  <si>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</si>
  <si>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</si>
  <si>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</si>
  <si>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</si>
  <si>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</si>
  <si>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</si>
  <si>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</si>
  <si>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</si>
  <si>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</si>
  <si>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</si>
  <si>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</si>
  <si>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</si>
  <si>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</si>
  <si>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</si>
  <si>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</si>
  <si>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</si>
  <si>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</si>
  <si>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</si>
  <si>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</si>
  <si>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</si>
  <si>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</si>
  <si>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</si>
  <si>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</si>
  <si>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</si>
  <si>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</si>
  <si>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</si>
  <si>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</si>
  <si>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</si>
  <si>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</si>
  <si>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</si>
  <si>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</si>
  <si>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</si>
  <si>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</si>
  <si>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</si>
  <si>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</si>
  <si>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</si>
  <si>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</si>
  <si>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</si>
  <si>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</si>
  <si>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</si>
  <si>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</si>
  <si>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</si>
  <si>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</si>
  <si>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</si>
  <si>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</si>
  <si>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</si>
  <si>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</si>
  <si>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</si>
  <si>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</si>
  <si>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</si>
  <si>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</si>
  <si>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</si>
  <si>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</si>
  <si>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</si>
  <si>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</si>
  <si>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</si>
  <si>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</si>
  <si>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</si>
  <si>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</si>
  <si>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</si>
  <si>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</si>
  <si>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</si>
  <si>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</si>
  <si>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</si>
  <si>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</si>
  <si>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</si>
  <si>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</si>
  <si>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</si>
  <si>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</si>
  <si>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</si>
  <si>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</si>
  <si>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</si>
  <si>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</si>
  <si>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</si>
  <si>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</si>
  <si>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</si>
  <si>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</si>
  <si>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</si>
  <si>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</si>
  <si>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</si>
  <si>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</si>
  <si>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</si>
  <si>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</si>
  <si>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</si>
  <si>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</si>
  <si>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</si>
  <si>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</si>
  <si>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</si>
  <si>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</si>
  <si>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</si>
  <si>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</si>
  <si>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</si>
  <si>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</si>
  <si>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</si>
  <si>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</si>
  <si>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</si>
  <si>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</si>
  <si>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</si>
  <si>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</si>
  <si>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</si>
  <si>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</si>
  <si>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</si>
  <si>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</si>
  <si>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</si>
  <si>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</si>
  <si>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</si>
  <si>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</si>
  <si>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</si>
  <si>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</si>
  <si>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</si>
  <si>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</si>
  <si>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</si>
  <si>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</si>
  <si>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</si>
  <si>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</si>
  <si>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</si>
  <si>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</si>
  <si>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</si>
  <si>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</si>
  <si>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</si>
  <si>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</si>
  <si>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</si>
  <si>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</si>
  <si>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</si>
  <si>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</si>
  <si>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</si>
  <si>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</si>
  <si>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</si>
  <si>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</si>
  <si>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</si>
  <si>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</si>
  <si>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</si>
  <si>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</si>
  <si>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</si>
  <si>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</si>
  <si>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</si>
  <si>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</si>
  <si>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</si>
  <si>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</si>
  <si>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</si>
  <si>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</si>
  <si>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</si>
  <si>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</si>
  <si>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</si>
  <si>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</si>
  <si>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</si>
  <si>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</si>
  <si>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</si>
  <si>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</si>
  <si>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</si>
  <si>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</si>
  <si>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</si>
  <si>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</si>
  <si>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</si>
  <si>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</si>
  <si>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</si>
  <si>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</si>
  <si>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</si>
  <si>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</si>
  <si>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</si>
  <si>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</si>
  <si>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</si>
  <si>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</si>
  <si>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</si>
  <si>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</si>
  <si>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</si>
  <si>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</si>
  <si>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</si>
  <si>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</si>
  <si>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</si>
  <si>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</si>
  <si>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</si>
  <si>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</si>
  <si>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</si>
  <si>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</si>
  <si>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</si>
  <si>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</si>
  <si>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</si>
  <si>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</si>
  <si>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</si>
  <si>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</si>
  <si>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</si>
  <si>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</si>
  <si>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</si>
  <si>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</si>
  <si>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</si>
  <si>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</si>
  <si>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</si>
  <si>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</si>
  <si>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</si>
  <si>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</si>
  <si>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</si>
  <si>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</si>
  <si>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</si>
  <si>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</si>
  <si>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</si>
  <si>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</si>
  <si>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</si>
  <si>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</si>
  <si>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</si>
  <si>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</si>
  <si>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</si>
  <si>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</si>
  <si>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</si>
  <si>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</si>
  <si>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</si>
  <si>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</si>
  <si>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</si>
  <si>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</si>
  <si>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</si>
  <si>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</si>
  <si>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</si>
  <si>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</si>
  <si>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</si>
  <si>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</si>
  <si>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</si>
  <si>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</si>
  <si>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</si>
  <si>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</si>
  <si>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</si>
  <si>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</si>
  <si>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</si>
  <si>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</si>
  <si>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</si>
  <si>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</si>
  <si>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</si>
  <si>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</si>
  <si>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</si>
  <si>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</si>
  <si>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</si>
  <si>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</si>
  <si>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</si>
  <si>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</si>
  <si>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</si>
  <si>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</si>
  <si>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</si>
  <si>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</si>
  <si>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</si>
  <si>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</si>
  <si>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</si>
  <si>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</si>
  <si>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</si>
  <si>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</si>
  <si>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</si>
  <si>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</si>
  <si>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</si>
  <si>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</si>
  <si>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</si>
  <si>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</si>
  <si>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</si>
  <si>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</si>
  <si>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</si>
  <si>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</si>
  <si>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</si>
  <si>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</si>
  <si>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</si>
  <si>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</si>
  <si>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</si>
  <si>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</si>
  <si>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</si>
  <si>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</si>
  <si>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</si>
  <si>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</si>
  <si>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</si>
  <si>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</si>
  <si>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</si>
  <si>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</si>
  <si>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</si>
  <si>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</si>
  <si>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</si>
  <si>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</si>
  <si>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</si>
  <si>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</si>
  <si>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</si>
  <si>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</si>
  <si>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</si>
  <si>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</si>
  <si>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</si>
  <si>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</si>
  <si>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</si>
  <si>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</si>
  <si>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</si>
  <si>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</si>
  <si>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</si>
  <si>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</si>
  <si>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</si>
  <si>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</si>
  <si>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</si>
  <si>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</si>
  <si>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</si>
  <si>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</si>
  <si>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</si>
  <si>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</si>
  <si>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</si>
  <si>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</si>
  <si>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</si>
  <si>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</si>
  <si>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</si>
  <si>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</si>
  <si>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</si>
  <si>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</si>
  <si>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</si>
  <si>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</si>
  <si>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</si>
  <si>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</si>
  <si>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</si>
  <si>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</si>
  <si>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</si>
  <si>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</si>
  <si>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</si>
  <si>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</si>
  <si>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</si>
  <si>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</si>
  <si>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</si>
  <si>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</si>
  <si>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</si>
  <si>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</si>
  <si>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</si>
  <si>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</si>
  <si>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</si>
  <si>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</si>
  <si>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</si>
  <si>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</si>
  <si>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</si>
  <si>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</si>
  <si>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</si>
  <si>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</si>
  <si>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</si>
  <si>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</si>
  <si>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</si>
  <si>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</si>
  <si>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</si>
  <si>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</si>
  <si>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</si>
  <si>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</si>
  <si>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</si>
  <si>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</si>
  <si>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</si>
  <si>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</si>
  <si>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</si>
  <si>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</si>
  <si>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</si>
  <si>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</si>
  <si>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</si>
  <si>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</si>
  <si>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</si>
  <si>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</si>
  <si>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</si>
  <si>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</si>
  <si>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</si>
  <si>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</si>
  <si>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</si>
  <si>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</si>
  <si>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</si>
  <si>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</si>
  <si>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</si>
  <si>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</si>
  <si>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</si>
  <si>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</si>
  <si>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</si>
  <si>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</si>
  <si>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</si>
  <si>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</si>
  <si>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</si>
  <si>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</si>
  <si>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</si>
  <si>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</si>
  <si>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</si>
  <si>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</si>
  <si>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</si>
  <si>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</si>
  <si>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</si>
  <si>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</si>
  <si>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</si>
  <si>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</si>
  <si>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</si>
  <si>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</si>
  <si>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</si>
  <si>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</si>
  <si>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</si>
  <si>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</si>
  <si>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</si>
  <si>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</si>
  <si>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</si>
  <si>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</si>
  <si>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</si>
  <si>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</si>
  <si>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</si>
  <si>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</si>
  <si>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</si>
  <si>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</si>
  <si>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</si>
  <si>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</si>
  <si>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</si>
  <si>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</si>
  <si>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</si>
  <si>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</si>
  <si>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</si>
  <si>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</si>
  <si>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</si>
  <si>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</si>
  <si>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</si>
  <si>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</si>
  <si>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</si>
  <si>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</si>
  <si>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</si>
  <si>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</si>
  <si>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</si>
  <si>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</si>
  <si>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</si>
  <si>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</si>
  <si>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</si>
  <si>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</si>
  <si>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</si>
  <si>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</si>
  <si>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</si>
  <si>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</si>
  <si>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</si>
  <si>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</si>
  <si>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</si>
  <si>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</si>
  <si>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</si>
  <si>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</si>
  <si>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</si>
  <si>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</si>
  <si>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</si>
  <si>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</si>
  <si>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</si>
  <si>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</si>
  <si>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</si>
  <si>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</si>
  <si>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</si>
  <si>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</si>
  <si>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</si>
  <si>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</si>
  <si>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</si>
  <si>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</si>
  <si>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</si>
  <si>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</si>
  <si>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</si>
  <si>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</si>
  <si>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</si>
  <si>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</si>
  <si>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</si>
  <si>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</si>
  <si>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</si>
  <si>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</si>
  <si>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</si>
  <si>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</si>
  <si>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</si>
  <si>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</si>
  <si>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</si>
  <si>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</si>
  <si>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</si>
  <si>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</si>
  <si>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</si>
  <si>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</si>
  <si>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</si>
  <si>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</si>
  <si>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</si>
  <si>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</si>
  <si>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</si>
  <si>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</si>
  <si>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</si>
  <si>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</si>
  <si>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</si>
  <si>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</si>
  <si>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</si>
  <si>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</si>
  <si>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</si>
  <si>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</si>
  <si>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</si>
  <si>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</si>
  <si>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</si>
  <si>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</si>
  <si>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</si>
  <si>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</si>
  <si>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</si>
  <si>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</si>
  <si>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</si>
  <si>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</si>
  <si>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</si>
  <si>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</si>
  <si>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</si>
  <si>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</si>
  <si>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</si>
  <si>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</si>
  <si>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</si>
  <si>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</si>
  <si>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</si>
  <si>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</si>
  <si>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</si>
  <si>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</si>
  <si>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</si>
  <si>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</si>
  <si>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</si>
  <si>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</si>
  <si>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</si>
  <si>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</si>
  <si>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</si>
  <si>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</si>
  <si>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</si>
  <si>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</si>
  <si>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</si>
  <si>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</si>
  <si>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</si>
  <si>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</si>
  <si>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</si>
  <si>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</si>
  <si>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</si>
  <si>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</si>
  <si>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</si>
  <si>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</si>
  <si>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</si>
  <si>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</si>
  <si>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</si>
  <si>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</si>
  <si>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</si>
  <si>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</si>
  <si>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</si>
  <si>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</si>
  <si>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</si>
  <si>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</si>
  <si>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</si>
  <si>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</si>
  <si>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</si>
  <si>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</si>
  <si>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</si>
  <si>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</si>
  <si>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</si>
  <si>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</si>
  <si>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</si>
  <si>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</si>
  <si>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</si>
  <si>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</si>
  <si>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</si>
  <si>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</si>
  <si>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</si>
  <si>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</si>
  <si>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</si>
  <si>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</si>
  <si>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</si>
  <si>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</si>
  <si>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</si>
  <si>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</si>
  <si>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</si>
  <si>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</si>
  <si>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</si>
  <si>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</si>
  <si>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</si>
  <si>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</si>
  <si>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</si>
  <si>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</si>
  <si>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</si>
  <si>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</si>
  <si>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</si>
  <si>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</si>
  <si>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</si>
  <si>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</si>
  <si>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</si>
  <si>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</si>
  <si>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</si>
  <si>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</si>
  <si>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</si>
  <si>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</si>
  <si>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</si>
  <si>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</si>
  <si>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</si>
  <si>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</si>
  <si>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</si>
  <si>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</si>
  <si>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</si>
  <si>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</si>
  <si>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</si>
  <si>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</si>
  <si>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</si>
  <si>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</si>
  <si>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</si>
  <si>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</si>
  <si>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</si>
  <si>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</si>
  <si>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</si>
  <si>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</si>
  <si>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</si>
  <si>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</si>
  <si>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</si>
  <si>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</si>
  <si>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</si>
  <si>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</si>
  <si>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</si>
  <si>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</si>
  <si>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</si>
  <si>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</si>
  <si>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</si>
  <si>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</si>
  <si>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</si>
  <si>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</si>
  <si>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</si>
  <si>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</si>
  <si>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</si>
  <si>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</si>
  <si>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</si>
  <si>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</si>
  <si>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</si>
  <si>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</si>
  <si>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</si>
  <si>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</si>
  <si>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</si>
  <si>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</si>
  <si>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</si>
  <si>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</si>
  <si>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</si>
  <si>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</si>
  <si>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</si>
  <si>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</si>
  <si>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</si>
  <si>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</si>
  <si>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</si>
  <si>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</si>
  <si>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</si>
  <si>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</si>
  <si>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</si>
  <si>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</si>
  <si>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</si>
  <si>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</si>
  <si>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</si>
  <si>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</si>
  <si>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</si>
  <si>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</si>
  <si>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</si>
  <si>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</si>
  <si>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</si>
  <si>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</si>
  <si>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</si>
  <si>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</si>
  <si>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</si>
  <si>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</si>
  <si>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</si>
  <si>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</si>
  <si>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</si>
  <si>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</si>
  <si>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</si>
  <si>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</si>
  <si>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</si>
  <si>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</si>
  <si>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</si>
  <si>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</si>
  <si>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</si>
  <si>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</si>
  <si>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</si>
  <si>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</si>
  <si>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</si>
  <si>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</si>
  <si>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</si>
  <si>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</si>
  <si>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</si>
  <si>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</si>
  <si>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</si>
  <si>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</si>
  <si>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</si>
  <si>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</si>
  <si>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</si>
  <si>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</si>
  <si>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</si>
  <si>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</si>
  <si>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</si>
  <si>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</si>
  <si>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</si>
  <si>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</si>
  <si>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</si>
  <si>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</si>
  <si>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</si>
  <si>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</si>
  <si>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</si>
  <si>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</si>
  <si>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</si>
  <si>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</si>
  <si>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</si>
  <si>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</si>
  <si>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</si>
  <si>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</si>
  <si>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</si>
  <si>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</si>
  <si>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</si>
  <si>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</si>
  <si>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</si>
  <si>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</si>
  <si>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</si>
  <si>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</si>
  <si>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</si>
  <si>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</si>
  <si>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</si>
  <si>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</si>
  <si>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</si>
  <si>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</si>
  <si>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</si>
  <si>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</si>
  <si>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</si>
  <si>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</si>
  <si>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</si>
  <si>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</si>
  <si>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</si>
  <si>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</si>
  <si>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</si>
  <si>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</si>
  <si>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</si>
  <si>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</si>
  <si>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</si>
  <si>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</si>
  <si>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</si>
  <si>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</si>
  <si>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</si>
  <si>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</si>
  <si>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</si>
  <si>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</si>
  <si>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</si>
  <si>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</si>
  <si>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</si>
  <si>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</si>
  <si>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</si>
  <si>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</si>
  <si>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</si>
  <si>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</si>
  <si>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</si>
  <si>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</si>
  <si>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</si>
  <si>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</si>
  <si>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</si>
  <si>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</si>
  <si>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</si>
  <si>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</si>
  <si>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</si>
  <si>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</si>
  <si>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</si>
  <si>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</si>
  <si>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</si>
  <si>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</si>
  <si>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</si>
  <si>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</si>
  <si>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</si>
  <si>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</si>
  <si>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</si>
  <si>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</si>
  <si>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</si>
  <si>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</si>
  <si>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</si>
  <si>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</si>
  <si>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</si>
  <si>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</si>
  <si>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</si>
  <si>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</si>
  <si>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</si>
  <si>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</si>
  <si>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</si>
  <si>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</si>
  <si>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</si>
  <si>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</si>
  <si>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</si>
  <si>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</si>
  <si>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</si>
  <si>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</si>
  <si>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</si>
  <si>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</si>
  <si>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</si>
  <si>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</si>
  <si>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</si>
  <si>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</si>
  <si>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</si>
  <si>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</si>
  <si>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</si>
  <si>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</si>
  <si>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</si>
  <si>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</si>
  <si>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</si>
  <si>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</si>
  <si>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</si>
  <si>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</si>
  <si>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</si>
  <si>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</si>
  <si>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</si>
  <si>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</si>
  <si>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</si>
  <si>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</si>
  <si>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</si>
  <si>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</si>
  <si>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</si>
  <si>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</si>
  <si>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</si>
  <si>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</si>
  <si>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</si>
  <si>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</si>
  <si>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</si>
  <si>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</si>
  <si>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</si>
  <si>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</si>
  <si>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</si>
  <si>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</si>
  <si>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</si>
  <si>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</si>
  <si>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</si>
  <si>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</si>
  <si>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</si>
  <si>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</si>
  <si>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</si>
  <si>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</si>
  <si>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</si>
  <si>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</si>
  <si>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</si>
  <si>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</si>
  <si>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</si>
  <si>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</si>
  <si>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</si>
  <si>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</si>
  <si>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</si>
  <si>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</si>
  <si>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</si>
  <si>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</si>
  <si>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</si>
  <si>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</si>
  <si>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</si>
  <si>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</si>
  <si>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</si>
  <si>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</si>
  <si>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</si>
  <si>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</si>
  <si>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</si>
  <si>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</si>
  <si>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</si>
  <si>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</si>
  <si>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</si>
  <si>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</si>
  <si>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</si>
  <si>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</si>
  <si>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</si>
  <si>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</si>
  <si>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</si>
  <si>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</si>
  <si>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</si>
  <si>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</si>
  <si>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</si>
  <si>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</si>
  <si>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</si>
  <si>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</si>
  <si>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</si>
  <si>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</si>
  <si>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</si>
  <si>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</si>
  <si>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</si>
  <si>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</si>
  <si>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</si>
  <si>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</si>
  <si>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</si>
  <si>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</si>
  <si>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</si>
  <si>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</si>
  <si>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</si>
  <si>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</si>
  <si>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</si>
  <si>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</si>
  <si>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</si>
  <si>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</si>
  <si>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</si>
  <si>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</si>
  <si>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</si>
  <si>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</si>
  <si>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</si>
  <si>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</si>
  <si>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</si>
  <si>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</si>
  <si>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</si>
  <si>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</si>
  <si>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</si>
  <si>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</si>
  <si>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</si>
  <si>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</si>
  <si>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</si>
  <si>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</si>
  <si>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</si>
  <si>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</si>
  <si>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</si>
  <si>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</si>
  <si>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</si>
  <si>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</si>
  <si>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</si>
  <si>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</si>
  <si>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</si>
  <si>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</si>
  <si>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</si>
  <si>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</si>
  <si>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</si>
  <si>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</si>
  <si>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</si>
  <si>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</si>
  <si>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</si>
  <si>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</si>
  <si>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</si>
  <si>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</si>
  <si>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</si>
  <si>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</si>
  <si>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</si>
  <si>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</si>
  <si>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</si>
  <si>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</si>
  <si>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</si>
  <si>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</si>
  <si>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</si>
  <si>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</si>
  <si>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</si>
  <si>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</si>
  <si>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</si>
  <si>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</si>
  <si>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</si>
  <si>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</si>
  <si>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</si>
  <si>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</si>
  <si>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</si>
  <si>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</si>
  <si>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</si>
  <si>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</si>
  <si>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</si>
  <si>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</si>
  <si>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</si>
  <si>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</si>
  <si>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</si>
  <si>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</si>
  <si>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</si>
  <si>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</si>
  <si>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</si>
  <si>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</si>
  <si>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</si>
  <si>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</si>
  <si>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</si>
  <si>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</si>
  <si>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</si>
  <si>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</si>
  <si>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</si>
  <si>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</si>
  <si>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</si>
  <si>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</si>
  <si>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</si>
  <si>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</si>
  <si>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</si>
  <si>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</si>
  <si>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</si>
  <si>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</si>
  <si>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</si>
  <si>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</si>
  <si>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</si>
  <si>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</si>
  <si>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</si>
  <si>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</si>
  <si>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</si>
  <si>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</si>
  <si>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</si>
  <si>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</si>
  <si>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</si>
  <si>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</si>
  <si>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</si>
  <si>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</si>
  <si>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</si>
  <si>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</si>
  <si>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</si>
  <si>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</si>
  <si>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</si>
  <si>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</si>
  <si>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</si>
  <si>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</si>
  <si>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</si>
  <si>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</si>
  <si>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</si>
  <si>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</si>
  <si>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</si>
  <si>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</si>
  <si>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</si>
  <si>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</si>
  <si>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</si>
  <si>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</si>
  <si>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</si>
  <si>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</si>
  <si>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</si>
  <si>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</si>
  <si>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</si>
  <si>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</si>
  <si>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</si>
  <si>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</si>
  <si>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</si>
  <si>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</si>
  <si>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</si>
  <si>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</si>
  <si>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</si>
  <si>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</si>
  <si>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</si>
  <si>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</si>
  <si>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</si>
  <si>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</si>
  <si>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</si>
  <si>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</si>
  <si>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</si>
  <si>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</si>
  <si>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</si>
  <si>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</si>
  <si>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</si>
  <si>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</si>
  <si>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</si>
  <si>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</si>
  <si>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</si>
  <si>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</si>
  <si>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</si>
  <si>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</si>
  <si>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</si>
  <si>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</si>
  <si>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</si>
  <si>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</si>
  <si>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</si>
  <si>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</si>
  <si>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</si>
  <si>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</si>
  <si>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</si>
  <si>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</si>
  <si>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</si>
  <si>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</si>
  <si>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</si>
  <si>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</si>
  <si>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</si>
  <si>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</si>
  <si>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</si>
  <si>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</si>
  <si>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</si>
  <si>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</si>
  <si>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</si>
  <si>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</si>
  <si>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</si>
  <si>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</si>
  <si>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</si>
  <si>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</si>
  <si>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</si>
  <si>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</si>
  <si>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</si>
  <si>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</si>
  <si>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</si>
  <si>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</si>
  <si>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</si>
  <si>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</si>
  <si>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</si>
  <si>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</si>
  <si>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</si>
  <si>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</si>
  <si>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</si>
  <si>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</si>
  <si>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</si>
  <si>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</si>
  <si>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</si>
  <si>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</si>
  <si>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</si>
  <si>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</si>
  <si>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</si>
  <si>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</si>
  <si>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</si>
  <si>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</si>
  <si>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</si>
  <si>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</si>
  <si>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</si>
  <si>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</si>
  <si>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</si>
  <si>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</si>
  <si>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</si>
  <si>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</si>
  <si>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</si>
  <si>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</si>
  <si>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</si>
  <si>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</si>
  <si>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</si>
  <si>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</si>
  <si>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</si>
  <si>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</si>
  <si>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</si>
  <si>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</si>
  <si>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</si>
  <si>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</si>
  <si>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</si>
  <si>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</si>
  <si>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</si>
  <si>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</si>
  <si>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</si>
  <si>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</si>
  <si>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</si>
  <si>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</si>
  <si>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</si>
  <si>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</si>
  <si>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</si>
  <si>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</si>
  <si>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</si>
  <si>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</si>
  <si>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</si>
  <si>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</si>
  <si>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</si>
  <si>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</si>
  <si>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</si>
  <si>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</si>
  <si>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</si>
  <si>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</si>
  <si>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</si>
  <si>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</si>
  <si>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</si>
  <si>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</si>
  <si>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</si>
  <si>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</si>
  <si>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</si>
  <si>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</si>
  <si>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</si>
  <si>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</si>
  <si>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</si>
  <si>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</si>
  <si>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</si>
  <si>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</si>
  <si>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</si>
  <si>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</si>
  <si>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</si>
  <si>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</si>
  <si>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</si>
  <si>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</si>
  <si>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</si>
  <si>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</si>
  <si>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</si>
  <si>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</si>
  <si>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</si>
  <si>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</si>
  <si>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</si>
  <si>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</si>
  <si>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</si>
  <si>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</si>
  <si>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</si>
  <si>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</si>
  <si>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</si>
  <si>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</si>
  <si>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</si>
  <si>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</si>
  <si>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</si>
  <si>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</si>
  <si>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</si>
  <si>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</si>
  <si>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</si>
  <si>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</si>
  <si>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</si>
  <si>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</si>
  <si>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</si>
  <si>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</si>
  <si>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</si>
  <si>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</si>
  <si>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</si>
  <si>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</si>
  <si>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</si>
  <si>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</si>
  <si>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</si>
  <si>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</si>
  <si>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</si>
  <si>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</si>
  <si>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</si>
  <si>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</si>
  <si>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</si>
  <si>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</si>
  <si>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</si>
  <si>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</si>
  <si>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</si>
  <si>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</si>
  <si>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</si>
  <si>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</si>
  <si>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</si>
  <si>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</si>
  <si>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</si>
  <si>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</si>
  <si>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</si>
  <si>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</si>
  <si>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</si>
  <si>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</si>
  <si>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</si>
  <si>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</si>
  <si>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</si>
  <si>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</si>
  <si>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</si>
  <si>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</si>
  <si>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</si>
  <si>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</si>
  <si>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</si>
  <si>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</si>
  <si>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</si>
  <si>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</si>
  <si>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</si>
  <si>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</si>
  <si>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</si>
  <si>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</si>
  <si>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</si>
  <si>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</si>
  <si>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</si>
  <si>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</si>
  <si>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</si>
  <si>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</si>
  <si>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</si>
  <si>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</si>
  <si>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</si>
  <si>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</si>
  <si>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</si>
  <si>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</si>
  <si>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</si>
  <si>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</si>
  <si>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</si>
  <si>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</si>
  <si>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</si>
  <si>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</si>
  <si>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</si>
  <si>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</si>
  <si>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</si>
  <si>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</si>
  <si>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</si>
  <si>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</si>
  <si>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</si>
  <si>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</si>
  <si>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</si>
  <si>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</si>
  <si>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</si>
  <si>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</si>
  <si>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</si>
  <si>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</si>
  <si>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</si>
  <si>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</si>
  <si>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</si>
  <si>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</si>
  <si>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</si>
  <si>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</si>
  <si>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</si>
  <si>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</si>
  <si>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</si>
  <si>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</si>
  <si>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</si>
  <si>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</si>
  <si>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</si>
  <si>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</si>
  <si>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</si>
  <si>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</si>
  <si>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</si>
  <si>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</si>
  <si>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</si>
  <si>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</si>
  <si>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</si>
  <si>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</si>
  <si>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</si>
  <si>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</si>
  <si>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</si>
  <si>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</si>
  <si>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</si>
  <si>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</si>
  <si>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</si>
  <si>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</si>
  <si>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</si>
  <si>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</si>
  <si>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</si>
  <si>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</si>
  <si>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</si>
  <si>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</si>
  <si>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</si>
  <si>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</si>
  <si>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</si>
  <si>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</si>
  <si>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</si>
  <si>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</si>
  <si>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</si>
  <si>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</si>
  <si>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</si>
  <si>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</si>
  <si>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</si>
  <si>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</si>
  <si>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</si>
  <si>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</si>
  <si>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</si>
  <si>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</si>
  <si>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</si>
  <si>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</si>
  <si>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</si>
  <si>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</si>
  <si>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</si>
  <si>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</si>
  <si>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</si>
  <si>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</si>
  <si>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</si>
  <si>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</si>
  <si>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</si>
  <si>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</si>
  <si>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</si>
  <si>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</si>
  <si>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</si>
  <si>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</si>
  <si>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</si>
  <si>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</si>
  <si>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</si>
  <si>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</si>
  <si>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</si>
  <si>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</si>
  <si>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</si>
  <si>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</si>
  <si>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</si>
  <si>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</si>
  <si>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</si>
  <si>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</si>
  <si>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</si>
  <si>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</si>
  <si>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</si>
  <si>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</si>
  <si>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</si>
  <si>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</si>
  <si>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</si>
  <si>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</si>
  <si>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</si>
  <si>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</si>
  <si>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</si>
  <si>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</si>
  <si>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</si>
  <si>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</si>
  <si>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</si>
  <si>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</si>
  <si>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</si>
  <si>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</si>
  <si>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</si>
  <si>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</si>
  <si>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</si>
  <si>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</si>
  <si>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</si>
  <si>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</si>
  <si>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</si>
  <si>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</si>
  <si>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</si>
  <si>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</si>
  <si>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</si>
  <si>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</si>
  <si>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</si>
  <si>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</si>
  <si>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</si>
  <si>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</si>
  <si>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</si>
  <si>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</si>
  <si>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</si>
  <si>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</si>
  <si>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</si>
  <si>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</si>
  <si>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</si>
  <si>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</si>
  <si>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</si>
  <si>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</si>
  <si>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</si>
  <si>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</si>
  <si>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</si>
  <si>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</si>
  <si>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</si>
  <si>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</si>
  <si>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</si>
  <si>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</si>
  <si>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</si>
  <si>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</si>
  <si>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</si>
  <si>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</si>
  <si>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</si>
  <si>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</si>
  <si>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</si>
  <si>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</si>
  <si>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</si>
  <si>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</si>
  <si>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</si>
  <si>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</si>
  <si>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</si>
  <si>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</si>
  <si>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</si>
  <si>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</si>
  <si>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</si>
  <si>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</si>
  <si>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</si>
  <si>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</si>
  <si>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</si>
  <si>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</si>
  <si>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</si>
  <si>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</si>
  <si>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</si>
  <si>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</si>
  <si>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</si>
  <si>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</si>
  <si>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</si>
  <si>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</si>
  <si>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</si>
  <si>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</si>
  <si>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</si>
  <si>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</si>
  <si>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</si>
  <si>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</si>
  <si>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</si>
  <si>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</si>
  <si>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</si>
  <si>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</si>
  <si>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</si>
  <si>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</si>
  <si>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</si>
  <si>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</si>
  <si>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</si>
  <si>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</si>
  <si>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</si>
  <si>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</si>
  <si>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</si>
  <si>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</si>
  <si>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</si>
  <si>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</si>
  <si>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</si>
  <si>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</si>
  <si>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</si>
  <si>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</si>
  <si>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</si>
  <si>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</si>
  <si>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</si>
  <si>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</si>
  <si>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</si>
  <si>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</si>
  <si>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</si>
  <si>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</si>
  <si>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</si>
  <si>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</si>
  <si>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</si>
  <si>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</si>
  <si>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</si>
  <si>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</si>
  <si>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</si>
  <si>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</si>
  <si>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</si>
  <si>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</si>
  <si>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</si>
  <si>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</si>
  <si>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</si>
  <si>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</si>
  <si>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</si>
  <si>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</si>
  <si>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</si>
  <si>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</si>
  <si>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</si>
  <si>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</si>
  <si>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</si>
  <si>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</si>
  <si>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</si>
  <si>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</si>
  <si>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</si>
  <si>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</si>
  <si>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</si>
  <si>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</si>
  <si>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</si>
  <si>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</si>
  <si>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</si>
  <si>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</si>
  <si>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</si>
  <si>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</si>
  <si>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</si>
  <si>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</si>
  <si>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</si>
  <si>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</si>
  <si>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</si>
  <si>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</si>
  <si>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</si>
  <si>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</si>
  <si>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</si>
  <si>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</si>
  <si>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</si>
  <si>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</si>
  <si>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</si>
  <si>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</si>
  <si>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</si>
  <si>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</si>
  <si>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</si>
  <si>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</si>
  <si>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</si>
  <si>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</si>
  <si>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</si>
  <si>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</si>
  <si>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</si>
  <si>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</si>
  <si>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</si>
  <si>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</si>
  <si>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</si>
  <si>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</si>
  <si>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</si>
  <si>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</si>
  <si>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</si>
  <si>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</si>
  <si>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</si>
  <si>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</si>
  <si>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</si>
  <si>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</si>
  <si>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</si>
  <si>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</si>
  <si>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</si>
  <si>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</si>
  <si>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</si>
  <si>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</si>
  <si>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</si>
  <si>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</si>
  <si>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</si>
  <si>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</si>
  <si>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</si>
  <si>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</si>
  <si>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</si>
  <si>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</si>
  <si>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</si>
  <si>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</si>
  <si>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</si>
  <si>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</si>
  <si>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</si>
  <si>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</si>
  <si>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</si>
  <si>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</si>
  <si>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</si>
  <si>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</si>
  <si>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</si>
  <si>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</si>
  <si>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</si>
  <si>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</si>
  <si>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</si>
  <si>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</si>
  <si>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</si>
  <si>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</si>
  <si>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</si>
  <si>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</si>
  <si>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</si>
  <si>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</si>
  <si>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</si>
  <si>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</si>
  <si>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</si>
  <si>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</si>
  <si>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</si>
  <si>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</si>
  <si>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</si>
  <si>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</si>
  <si>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</si>
  <si>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</si>
  <si>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</si>
  <si>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</si>
  <si>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</si>
  <si>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</si>
  <si>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</si>
  <si>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</si>
  <si>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</si>
  <si>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</si>
  <si>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</si>
  <si>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</si>
  <si>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</si>
  <si>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</si>
  <si>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</si>
  <si>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</si>
  <si>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</si>
  <si>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</si>
  <si>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</si>
  <si>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</si>
  <si>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</si>
  <si>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</si>
  <si>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</si>
  <si>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</si>
  <si>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</si>
  <si>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</si>
  <si>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</si>
  <si>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</si>
  <si>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</si>
  <si>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</si>
  <si>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</si>
  <si>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</si>
  <si>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</si>
  <si>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</si>
  <si>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</si>
  <si>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</si>
  <si>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</si>
  <si>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</si>
  <si>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</si>
  <si>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</si>
  <si>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</si>
  <si>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</si>
  <si>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</si>
  <si>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</si>
  <si>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</si>
  <si>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</si>
  <si>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</si>
  <si>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</si>
  <si>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</si>
  <si>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</si>
  <si>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</si>
  <si>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</si>
  <si>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</si>
  <si>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</si>
  <si>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</si>
  <si>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</si>
  <si>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</si>
  <si>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</si>
  <si>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</si>
  <si>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</si>
  <si>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</si>
  <si>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</si>
  <si>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</si>
  <si>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</si>
  <si>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</si>
  <si>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</si>
  <si>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</si>
  <si>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</si>
  <si>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</si>
  <si>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</si>
  <si>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</si>
  <si>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</si>
  <si>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</si>
  <si>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</si>
  <si>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</si>
  <si>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</si>
  <si>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</si>
  <si>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</si>
  <si>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</si>
  <si>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</si>
  <si>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</si>
  <si>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</si>
  <si>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</si>
  <si>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</si>
  <si>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</si>
  <si>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</si>
  <si>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</si>
  <si>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</si>
  <si>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</si>
  <si>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</si>
  <si>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</si>
  <si>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</si>
  <si>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</si>
  <si>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</si>
  <si>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</si>
  <si>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</si>
  <si>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</si>
  <si>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</si>
  <si>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</si>
  <si>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</si>
  <si>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</si>
  <si>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</si>
  <si>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</si>
  <si>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</si>
  <si>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</si>
  <si>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</si>
  <si>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</si>
  <si>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</si>
  <si>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</si>
  <si>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</si>
  <si>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</si>
  <si>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</si>
  <si>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</si>
  <si>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</si>
  <si>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</si>
  <si>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</si>
  <si>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</si>
  <si>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</si>
  <si>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</si>
  <si>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</si>
  <si>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</si>
  <si>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</si>
  <si>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</si>
  <si>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</si>
  <si>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</si>
  <si>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</si>
  <si>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</si>
  <si>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</si>
  <si>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</si>
  <si>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</si>
  <si>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</si>
  <si>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</si>
  <si>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</si>
  <si>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</si>
  <si>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</si>
  <si>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</si>
  <si>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</si>
  <si>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</si>
  <si>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</si>
  <si>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</si>
  <si>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</si>
  <si>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</si>
  <si>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</si>
  <si>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</si>
  <si>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</si>
  <si>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</si>
  <si>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</si>
  <si>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</si>
  <si>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</si>
  <si>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</si>
  <si>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</si>
  <si>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</si>
  <si>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</si>
  <si>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</si>
  <si>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</si>
  <si>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</si>
  <si>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</si>
  <si>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</si>
  <si>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</si>
  <si>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</si>
  <si>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</si>
  <si>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</si>
  <si>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</si>
  <si>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</si>
  <si>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</si>
  <si>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</si>
  <si>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</si>
  <si>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</si>
  <si>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</si>
  <si>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</si>
  <si>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</si>
  <si>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</si>
  <si>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</si>
  <si>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</si>
  <si>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</si>
  <si>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</si>
  <si>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</si>
  <si>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</si>
  <si>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</si>
  <si>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</si>
  <si>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</si>
  <si>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</si>
  <si>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</si>
  <si>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</si>
  <si>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</si>
  <si>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</si>
  <si>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</si>
  <si>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</si>
  <si>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</si>
  <si>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</si>
  <si>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</si>
  <si>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</si>
  <si>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</si>
  <si>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</si>
  <si>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</si>
  <si>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</si>
  <si>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</si>
  <si>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</si>
  <si>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</si>
  <si>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</si>
  <si>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</si>
  <si>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</si>
  <si>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</si>
  <si>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</si>
  <si>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</si>
  <si>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</si>
  <si>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</si>
  <si>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</si>
  <si>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</si>
  <si>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</si>
  <si>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</si>
  <si>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</si>
  <si>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</si>
  <si>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</si>
  <si>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</si>
  <si>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</si>
  <si>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</si>
  <si>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</si>
  <si>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</si>
  <si>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</si>
  <si>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</si>
  <si>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</si>
  <si>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</si>
  <si>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</si>
  <si>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</si>
  <si>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</si>
  <si>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</si>
  <si>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</si>
  <si>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</si>
  <si>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</si>
  <si>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</si>
  <si>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</si>
  <si>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</si>
  <si>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</si>
  <si>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</si>
  <si>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</si>
  <si>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</si>
  <si>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</si>
  <si>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</si>
  <si>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</si>
  <si>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</si>
  <si>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</si>
  <si>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</si>
  <si>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</si>
  <si>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</si>
  <si>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</si>
  <si>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</si>
  <si>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</si>
  <si>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</si>
  <si>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</si>
  <si>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</si>
  <si>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</si>
  <si>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</si>
  <si>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</si>
  <si>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</si>
  <si>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</si>
  <si>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</si>
  <si>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</si>
  <si>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</si>
  <si>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</si>
  <si>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</si>
  <si>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</si>
  <si>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</si>
  <si>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</si>
  <si>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</si>
  <si>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</si>
  <si>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</si>
  <si>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</si>
  <si>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</si>
  <si>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</si>
  <si>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</si>
  <si>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</si>
  <si>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</si>
  <si>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</si>
  <si>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</si>
  <si>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</si>
  <si>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</si>
  <si>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</si>
  <si>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</si>
  <si>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</si>
  <si>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</si>
  <si>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</si>
  <si>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</si>
  <si>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</si>
  <si>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</si>
  <si>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</si>
  <si>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</si>
  <si>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</si>
  <si>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</si>
  <si>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</si>
  <si>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</si>
  <si>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</si>
  <si>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</si>
  <si>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</si>
  <si>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</si>
  <si>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</si>
  <si>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</si>
  <si>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</si>
  <si>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</si>
  <si>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</si>
  <si>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</si>
  <si>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</si>
  <si>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</si>
  <si>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</si>
  <si>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</si>
  <si>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</si>
  <si>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</si>
  <si>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</si>
  <si>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</si>
  <si>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</si>
  <si>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</si>
  <si>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</si>
  <si>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</si>
  <si>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</si>
  <si>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</si>
  <si>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</si>
  <si>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</si>
  <si>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</si>
  <si>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</si>
  <si>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</si>
  <si>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</si>
  <si>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</si>
  <si>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</si>
  <si>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</si>
  <si>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</si>
  <si>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</si>
  <si>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</si>
  <si>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</si>
  <si>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</si>
  <si>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</si>
  <si>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</si>
  <si>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</si>
  <si>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</si>
  <si>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</si>
  <si>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</si>
  <si>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</si>
  <si>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</si>
  <si>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</si>
  <si>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</si>
  <si>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</si>
  <si>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</si>
  <si>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</si>
  <si>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</si>
  <si>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</si>
  <si>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</si>
  <si>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</si>
  <si>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</si>
  <si>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</si>
  <si>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</si>
  <si>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</si>
  <si>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</si>
  <si>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</si>
  <si>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</si>
  <si>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</si>
  <si>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</si>
  <si>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</si>
  <si>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</si>
  <si>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</si>
  <si>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</si>
  <si>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</si>
  <si>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</si>
  <si>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</si>
  <si>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</si>
  <si>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</si>
  <si>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</si>
  <si>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</si>
  <si>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</si>
  <si>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</si>
  <si>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</si>
  <si>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</si>
  <si>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</si>
  <si>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</si>
  <si>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</si>
  <si>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</si>
  <si>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</si>
  <si>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</si>
  <si>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</si>
  <si>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</si>
  <si>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</si>
  <si>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</si>
  <si>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</si>
  <si>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</si>
  <si>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</si>
  <si>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</si>
  <si>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</si>
  <si>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</si>
  <si>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</si>
  <si>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</si>
  <si>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</si>
  <si>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</si>
  <si>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</si>
  <si>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</si>
  <si>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</si>
  <si>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</si>
  <si>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</si>
  <si>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</si>
  <si>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</si>
  <si>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</si>
  <si>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</si>
  <si>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</si>
  <si>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</si>
  <si>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</si>
  <si>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</si>
  <si>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</si>
  <si>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</si>
  <si>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</si>
  <si>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</si>
  <si>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</si>
  <si>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</si>
  <si>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</si>
  <si>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</si>
  <si>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</si>
  <si>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</si>
  <si>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</si>
  <si>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</si>
  <si>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</si>
  <si>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</si>
  <si>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</si>
  <si>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</si>
  <si>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</si>
  <si>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</si>
  <si>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</si>
  <si>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</si>
  <si>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</si>
  <si>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</si>
  <si>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</si>
  <si>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</si>
  <si>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</si>
  <si>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</si>
  <si>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</si>
  <si>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</si>
  <si>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</si>
  <si>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</si>
  <si>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</si>
  <si>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</si>
  <si>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</si>
  <si>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</si>
  <si>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</si>
  <si>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</si>
  <si>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</si>
  <si>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</si>
  <si>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</si>
  <si>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</si>
  <si>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</si>
  <si>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</si>
  <si>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</si>
  <si>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</si>
  <si>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</si>
  <si>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</si>
  <si>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</si>
  <si>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</si>
  <si>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</si>
  <si>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</si>
  <si>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</si>
  <si>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</si>
  <si>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</si>
  <si>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</si>
  <si>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</si>
  <si>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</si>
  <si>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</si>
  <si>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</si>
  <si>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</si>
  <si>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</si>
  <si>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</si>
  <si>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</si>
  <si>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</si>
  <si>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</si>
  <si>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</si>
  <si>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</si>
  <si>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</si>
  <si>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</si>
  <si>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</si>
  <si>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</si>
  <si>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</si>
  <si>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</si>
  <si>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</si>
  <si>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</si>
  <si>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</si>
  <si>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</si>
  <si>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</si>
  <si>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</si>
  <si>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</si>
  <si>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</si>
  <si>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</si>
  <si>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</si>
  <si>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</si>
  <si>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</si>
  <si>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</si>
  <si>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</si>
  <si>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</si>
  <si>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</si>
  <si>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</si>
  <si>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</si>
  <si>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</si>
  <si>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</si>
  <si>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</si>
  <si>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</si>
  <si>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</si>
  <si>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</si>
  <si>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</si>
  <si>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</si>
  <si>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</si>
  <si>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</si>
  <si>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</si>
  <si>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</si>
  <si>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</si>
  <si>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</si>
  <si>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</si>
  <si>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</si>
  <si>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</si>
  <si>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</si>
  <si>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</si>
  <si>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</si>
  <si>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</si>
  <si>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</si>
  <si>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</si>
  <si>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</si>
  <si>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</si>
  <si>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</si>
  <si>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</si>
  <si>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</si>
  <si>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</si>
  <si>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</si>
  <si>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</si>
  <si>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</si>
  <si>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</si>
  <si>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</si>
  <si>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</si>
  <si>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</si>
  <si>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</si>
  <si>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</si>
  <si>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</si>
  <si>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</si>
  <si>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</si>
  <si>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</si>
  <si>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</si>
  <si>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</si>
  <si>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</si>
  <si>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</si>
  <si>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</si>
  <si>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</si>
  <si>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</si>
  <si>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</si>
  <si>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</si>
  <si>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</si>
  <si>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</si>
  <si>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</si>
  <si>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</si>
  <si>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</si>
  <si>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</si>
  <si>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</si>
  <si>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</si>
  <si>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</si>
  <si>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</si>
  <si>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</si>
  <si>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</si>
  <si>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</si>
  <si>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</si>
  <si>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</si>
  <si>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</si>
  <si>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</si>
  <si>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</si>
  <si>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</si>
  <si>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</si>
  <si>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</si>
  <si>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</si>
  <si>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</si>
  <si>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</si>
  <si>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</si>
  <si>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</si>
  <si>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</si>
  <si>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</si>
  <si>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</si>
  <si>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</si>
  <si>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</si>
  <si>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</si>
  <si>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</si>
  <si>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</si>
  <si>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</si>
  <si>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</si>
  <si>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</si>
  <si>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</si>
  <si>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</si>
  <si>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</si>
  <si>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</si>
  <si>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</si>
  <si>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</si>
  <si>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</si>
  <si>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</si>
  <si>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</si>
  <si>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</si>
  <si>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</si>
  <si>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</si>
  <si>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</si>
  <si>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</si>
  <si>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</si>
  <si>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</si>
  <si>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</si>
  <si>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</si>
  <si>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</si>
  <si>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</si>
  <si>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</si>
  <si>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</si>
  <si>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</si>
  <si>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</si>
  <si>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</si>
  <si>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</si>
  <si>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</si>
  <si>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</si>
  <si>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</si>
  <si>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</si>
  <si>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</si>
  <si>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</si>
  <si>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</si>
  <si>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</si>
  <si>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</si>
  <si>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</si>
  <si>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</si>
  <si>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</si>
  <si>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</si>
  <si>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</si>
  <si>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</si>
  <si>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</si>
  <si>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</si>
  <si>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</si>
  <si>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</si>
  <si>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</si>
  <si>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</si>
  <si>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</si>
  <si>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</si>
  <si>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</si>
  <si>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</si>
  <si>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</si>
  <si>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</si>
  <si>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</si>
  <si>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</si>
  <si>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</si>
  <si>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</si>
  <si>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</si>
  <si>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</si>
  <si>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</si>
  <si>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</si>
  <si>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</si>
  <si>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</si>
  <si>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</si>
  <si>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</si>
  <si>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</si>
  <si>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</si>
  <si>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</si>
  <si>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</si>
  <si>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</si>
  <si>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</si>
  <si>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</si>
  <si>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</si>
  <si>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</si>
  <si>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</si>
  <si>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</si>
  <si>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</si>
  <si>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</si>
  <si>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</si>
  <si>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</si>
  <si>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</si>
  <si>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</si>
  <si>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</si>
  <si>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</si>
  <si>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</si>
  <si>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</si>
  <si>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</si>
  <si>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</si>
  <si>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</si>
  <si>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</si>
  <si>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</si>
  <si>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</si>
  <si>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</si>
  <si>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</si>
  <si>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</si>
  <si>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</si>
  <si>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</si>
  <si>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</si>
  <si>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</si>
  <si>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</si>
  <si>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</si>
  <si>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</si>
  <si>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</si>
  <si>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</si>
  <si>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</si>
  <si>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</si>
  <si>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</si>
  <si>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</si>
  <si>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</si>
  <si>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</si>
  <si>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</si>
  <si>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</si>
  <si>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</si>
  <si>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</si>
  <si>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</si>
  <si>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</si>
  <si>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</si>
  <si>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</si>
  <si>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</si>
  <si>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</si>
  <si>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</si>
  <si>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</si>
  <si>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</si>
  <si>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</si>
  <si>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</si>
  <si>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</si>
  <si>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</si>
  <si>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</si>
  <si>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</si>
  <si>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</si>
  <si>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</si>
  <si>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</si>
  <si>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</si>
  <si>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</si>
  <si>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</si>
  <si>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</si>
  <si>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</si>
  <si>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</si>
  <si>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</si>
  <si>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</si>
  <si>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</si>
  <si>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</si>
  <si>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</si>
  <si>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</si>
  <si>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</si>
  <si>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</si>
  <si>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</si>
  <si>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</si>
  <si>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</si>
  <si>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</si>
  <si>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</si>
  <si>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</si>
  <si>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</si>
  <si>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</si>
  <si>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</si>
  <si>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</si>
  <si>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</si>
  <si>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</si>
  <si>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</si>
  <si>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</si>
  <si>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</si>
  <si>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</si>
  <si>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</si>
  <si>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</si>
  <si>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</si>
  <si>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</si>
  <si>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</si>
  <si>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</si>
  <si>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</si>
  <si>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</si>
  <si>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</si>
  <si>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</si>
  <si>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</si>
  <si>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</si>
  <si>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</si>
  <si>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</si>
  <si>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</si>
  <si>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</si>
  <si>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</si>
  <si>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</si>
  <si>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</si>
  <si>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</si>
  <si>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</si>
  <si>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</si>
  <si>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</si>
  <si>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</si>
  <si>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</si>
  <si>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</si>
  <si>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</si>
  <si>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</si>
  <si>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</si>
  <si>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</si>
  <si>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</si>
  <si>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</si>
  <si>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</si>
  <si>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</si>
  <si>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</si>
  <si>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</si>
  <si>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</si>
  <si>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</si>
  <si>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</si>
  <si>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</si>
  <si>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</si>
  <si>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</si>
  <si>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</si>
  <si>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</si>
  <si>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</si>
  <si>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</si>
  <si>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</si>
  <si>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</si>
  <si>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</si>
  <si>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</si>
  <si>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</si>
  <si>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</si>
  <si>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</si>
  <si>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</si>
  <si>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</si>
  <si>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</si>
  <si>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</si>
  <si>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</si>
  <si>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</si>
  <si>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</si>
  <si>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</si>
  <si>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</si>
  <si>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</si>
  <si>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</si>
  <si>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</si>
  <si>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</si>
  <si>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</si>
  <si>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</si>
  <si>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</si>
  <si>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</si>
  <si>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</si>
  <si>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</si>
  <si>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</si>
  <si>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</si>
  <si>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</si>
  <si>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</si>
  <si>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</si>
  <si>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</si>
  <si>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</si>
  <si>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</si>
  <si>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</si>
  <si>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</si>
  <si>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</si>
  <si>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</si>
  <si>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</si>
  <si>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</si>
  <si>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</si>
  <si>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</si>
  <si>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</si>
  <si>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</si>
  <si>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</si>
  <si>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</si>
  <si>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</si>
  <si>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</si>
  <si>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</si>
  <si>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</si>
  <si>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</si>
  <si>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</si>
  <si>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</si>
  <si>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</si>
  <si>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</si>
  <si>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</si>
  <si>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</si>
  <si>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</si>
  <si>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</si>
  <si>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</si>
  <si>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</si>
  <si>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</si>
  <si>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</si>
  <si>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</si>
  <si>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</si>
  <si>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</si>
  <si>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</si>
  <si>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</si>
  <si>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</si>
  <si>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</si>
  <si>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</si>
  <si>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</si>
  <si>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</si>
  <si>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</si>
  <si>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</si>
  <si>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</si>
  <si>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</si>
  <si>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</si>
  <si>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</si>
  <si>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</si>
  <si>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</si>
  <si>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</si>
  <si>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</si>
  <si>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</si>
  <si>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</si>
  <si>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</si>
  <si>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</si>
  <si>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</si>
  <si>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</si>
  <si>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</si>
  <si>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</si>
  <si>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</si>
  <si>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</si>
  <si>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</si>
  <si>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</si>
  <si>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</si>
  <si>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</si>
  <si>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</si>
  <si>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</si>
  <si>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</si>
  <si>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</si>
  <si>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</si>
  <si>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</si>
  <si>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</si>
  <si>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</si>
  <si>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</si>
  <si>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</si>
  <si>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</si>
  <si>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</si>
  <si>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</si>
  <si>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</si>
  <si>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</si>
  <si>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</si>
  <si>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</si>
  <si>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</si>
  <si>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</si>
  <si>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</si>
  <si>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</si>
  <si>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</si>
  <si>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</si>
  <si>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</si>
  <si>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</si>
  <si>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</si>
  <si>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</si>
  <si>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</si>
  <si>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</si>
  <si>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</si>
  <si>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</si>
  <si>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</si>
  <si>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</si>
  <si>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</si>
  <si>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</si>
  <si>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</si>
  <si>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</si>
  <si>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</si>
  <si>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</si>
  <si>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</si>
  <si>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</si>
  <si>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</si>
  <si>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</si>
  <si>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</si>
  <si>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</si>
  <si>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</si>
  <si>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</si>
  <si>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</si>
  <si>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</si>
  <si>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</si>
  <si>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</si>
  <si>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</si>
  <si>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</si>
  <si>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</si>
  <si>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</si>
  <si>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</si>
  <si>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</si>
  <si>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</si>
  <si>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</si>
  <si>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</si>
  <si>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</si>
  <si>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</si>
  <si>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</si>
  <si>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</si>
  <si>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</si>
  <si>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</si>
  <si>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</si>
  <si>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</si>
  <si>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</si>
  <si>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</si>
  <si>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</si>
  <si>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</si>
  <si>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</si>
  <si>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</si>
  <si>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</si>
  <si>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</si>
  <si>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</si>
  <si>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</si>
  <si>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</si>
  <si>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</si>
  <si>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</si>
  <si>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</si>
  <si>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</si>
  <si>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</si>
  <si>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</si>
  <si>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</si>
  <si>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</si>
  <si>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</si>
  <si>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</si>
  <si>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</si>
  <si>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</si>
  <si>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</si>
  <si>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</si>
  <si>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</si>
  <si>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</si>
  <si>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</si>
  <si>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</si>
  <si>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</si>
  <si>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</si>
  <si>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</si>
  <si>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</si>
  <si>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</si>
  <si>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</si>
  <si>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</si>
  <si>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</si>
  <si>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</si>
  <si>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</si>
  <si>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</si>
  <si>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</si>
  <si>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</si>
  <si>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</si>
  <si>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</si>
  <si>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</si>
  <si>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</si>
  <si>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</si>
  <si>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</si>
  <si>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</si>
  <si>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</si>
  <si>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</si>
  <si>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</si>
  <si>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</si>
  <si>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</si>
  <si>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</si>
  <si>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</si>
  <si>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</si>
  <si>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</si>
  <si>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</si>
  <si>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</si>
  <si>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</si>
  <si>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</si>
  <si>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</si>
  <si>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</si>
  <si>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</si>
  <si>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</si>
  <si>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</si>
  <si>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</si>
  <si>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</si>
  <si>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</si>
  <si>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</si>
  <si>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</si>
  <si>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</si>
  <si>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</si>
  <si>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</si>
  <si>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</si>
  <si>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</si>
  <si>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</si>
  <si>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</si>
  <si>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</si>
  <si>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</si>
  <si>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</si>
  <si>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</si>
  <si>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</si>
  <si>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</si>
  <si>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</si>
  <si>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</si>
  <si>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</si>
  <si>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</si>
  <si>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</si>
  <si>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</si>
  <si>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</si>
  <si>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</si>
  <si>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</si>
  <si>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</si>
  <si>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</si>
  <si>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</si>
  <si>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</si>
  <si>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</si>
  <si>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</si>
  <si>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</si>
  <si>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</si>
  <si>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</si>
  <si>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</si>
  <si>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</si>
  <si>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</si>
  <si>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</si>
  <si>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</si>
  <si>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</si>
  <si>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</si>
  <si>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</si>
  <si>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</si>
  <si>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</si>
  <si>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</si>
  <si>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</si>
  <si>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</si>
  <si>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</si>
  <si>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</si>
  <si>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</si>
  <si>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</si>
  <si>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</si>
  <si>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</si>
  <si>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</si>
  <si>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</si>
  <si>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</si>
  <si>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</si>
  <si>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</si>
  <si>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</si>
  <si>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</si>
  <si>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</si>
  <si>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</si>
  <si>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</si>
  <si>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</si>
  <si>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</si>
  <si>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</si>
  <si>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</si>
  <si>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</si>
  <si>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</si>
  <si>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</si>
  <si>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</si>
  <si>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</si>
  <si>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</si>
  <si>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</si>
  <si>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</si>
  <si>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</si>
  <si>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</si>
  <si>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</si>
  <si>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</si>
  <si>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</si>
  <si>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</si>
  <si>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</si>
  <si>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</si>
  <si>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</si>
  <si>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</si>
  <si>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</si>
  <si>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</si>
  <si>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</si>
  <si>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</si>
  <si>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</si>
  <si>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</si>
  <si>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</si>
  <si>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</si>
  <si>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</si>
  <si>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</si>
  <si>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</si>
  <si>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</si>
  <si>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</si>
  <si>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</si>
  <si>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</si>
  <si>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</si>
  <si>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</si>
  <si>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</si>
  <si>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</si>
  <si>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</si>
  <si>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</si>
  <si>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</si>
  <si>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</si>
  <si>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</si>
  <si>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</si>
  <si>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</si>
  <si>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</si>
  <si>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</si>
  <si>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</si>
  <si>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</si>
  <si>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</si>
  <si>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</si>
  <si>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</si>
  <si>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</si>
  <si>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</si>
  <si>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</si>
  <si>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</si>
  <si>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</si>
  <si>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</si>
  <si>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</si>
  <si>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</si>
  <si>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</si>
  <si>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</si>
  <si>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</si>
  <si>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</si>
  <si>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</si>
  <si>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</si>
  <si>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</si>
  <si>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</si>
  <si>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</si>
  <si>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</si>
  <si>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</si>
  <si>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</si>
  <si>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</si>
  <si>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</si>
  <si>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</si>
  <si>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</si>
  <si>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</si>
  <si>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</si>
  <si>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</si>
  <si>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</si>
  <si>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</si>
  <si>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</si>
  <si>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</si>
  <si>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</si>
  <si>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</si>
  <si>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</si>
  <si>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</si>
  <si>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</si>
  <si>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</si>
  <si>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</si>
  <si>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</si>
  <si>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</si>
  <si>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</si>
  <si>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</si>
  <si>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</si>
  <si>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</si>
  <si>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</si>
  <si>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</si>
  <si>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</si>
  <si>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</si>
  <si>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</si>
  <si>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</si>
  <si>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</si>
  <si>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</si>
  <si>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</si>
  <si>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</si>
  <si>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</si>
  <si>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</si>
  <si>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</si>
  <si>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</si>
  <si>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</si>
  <si>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</si>
  <si>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</si>
  <si>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</si>
  <si>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</si>
  <si>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</si>
  <si>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</si>
  <si>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</si>
  <si>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</si>
  <si>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</si>
  <si>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</si>
  <si>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</si>
  <si>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</si>
  <si>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</si>
  <si>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</si>
  <si>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</si>
  <si>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</si>
  <si>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</si>
  <si>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</si>
  <si>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</si>
  <si>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</si>
  <si>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</si>
  <si>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</si>
  <si>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</si>
  <si>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</si>
  <si>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</si>
  <si>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</si>
  <si>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</si>
  <si>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</si>
  <si>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</si>
  <si>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</si>
  <si>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</si>
  <si>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</si>
  <si>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</si>
  <si>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</si>
  <si>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</si>
  <si>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</si>
  <si>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</si>
  <si>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</si>
  <si>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</si>
  <si>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</si>
  <si>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</si>
  <si>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</si>
  <si>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</si>
  <si>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</si>
  <si>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</si>
  <si>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</si>
  <si>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</si>
  <si>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</si>
  <si>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</si>
  <si>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</si>
  <si>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</si>
  <si>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</si>
  <si>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</si>
  <si>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</si>
  <si>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</si>
  <si>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</si>
  <si>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</si>
  <si>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</si>
  <si>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</si>
  <si>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</si>
  <si>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</si>
  <si>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</si>
  <si>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</si>
  <si>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</si>
  <si>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</si>
  <si>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</si>
  <si>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</si>
  <si>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</si>
  <si>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</si>
  <si>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</si>
  <si>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</si>
  <si>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</si>
  <si>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</si>
  <si>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</si>
  <si>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</si>
  <si>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</si>
  <si>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</si>
  <si>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</si>
  <si>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</si>
  <si>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</si>
  <si>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</si>
  <si>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</si>
  <si>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</si>
  <si>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</si>
  <si>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</si>
  <si>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</si>
  <si>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</si>
  <si>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</si>
  <si>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</si>
  <si>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</si>
  <si>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</si>
  <si>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</si>
  <si>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</si>
  <si>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</si>
  <si>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</si>
  <si>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</si>
  <si>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</si>
  <si>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</si>
  <si>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</si>
  <si>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</si>
  <si>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</si>
  <si>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</si>
  <si>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</si>
  <si>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</si>
  <si>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</si>
  <si>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</si>
  <si>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</si>
  <si>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</si>
  <si>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</si>
  <si>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</si>
  <si>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</si>
  <si>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</si>
  <si>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</si>
  <si>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</si>
  <si>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</si>
  <si>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</si>
  <si>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</si>
  <si>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</si>
  <si>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</si>
  <si>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</si>
  <si>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</si>
  <si>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</si>
  <si>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</si>
  <si>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</si>
  <si>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</si>
  <si>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</si>
  <si>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</si>
  <si>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</si>
  <si>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</si>
  <si>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</si>
  <si>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</si>
  <si>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</si>
  <si>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</si>
  <si>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</si>
  <si>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</si>
  <si>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</si>
  <si>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</si>
  <si>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</si>
  <si>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</si>
  <si>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</si>
  <si>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</si>
  <si>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</si>
  <si>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</si>
  <si>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</si>
  <si>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</si>
  <si>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</si>
  <si>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</si>
  <si>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</si>
  <si>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</si>
  <si>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</si>
  <si>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</si>
  <si>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</si>
  <si>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</si>
  <si>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</si>
  <si>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</si>
  <si>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</si>
  <si>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</si>
  <si>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</si>
  <si>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</si>
  <si>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</si>
  <si>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</si>
  <si>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</si>
  <si>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</si>
  <si>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</si>
  <si>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</si>
  <si>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</si>
  <si>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</si>
  <si>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</si>
  <si>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</si>
  <si>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</si>
  <si>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</si>
  <si>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</si>
  <si>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</si>
  <si>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</si>
  <si>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</si>
  <si>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</si>
  <si>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</si>
  <si>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</si>
  <si>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</si>
  <si>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</si>
  <si>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</si>
  <si>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</si>
  <si>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</si>
  <si>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</si>
  <si>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</si>
  <si>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</si>
  <si>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</si>
  <si>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</si>
  <si>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</si>
  <si>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</si>
  <si>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</si>
  <si>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</si>
  <si>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</si>
  <si>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</si>
  <si>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</si>
  <si>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</si>
  <si>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</si>
  <si>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</si>
  <si>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</si>
  <si>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</si>
  <si>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</si>
  <si>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</si>
  <si>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</si>
  <si>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</si>
  <si>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</si>
  <si>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</si>
  <si>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</si>
  <si>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</si>
  <si>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</si>
  <si>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</si>
  <si>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</si>
  <si>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</si>
  <si>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</si>
  <si>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</si>
  <si>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</si>
  <si>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</si>
  <si>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</si>
  <si>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</si>
  <si>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</si>
  <si>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</si>
  <si>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</si>
  <si>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</si>
  <si>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</si>
  <si>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</si>
  <si>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</si>
  <si>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</si>
  <si>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</si>
  <si>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</si>
  <si>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</si>
  <si>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</si>
  <si>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</si>
  <si>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</si>
  <si>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</si>
  <si>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</si>
  <si>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</si>
  <si>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</si>
  <si>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</si>
  <si>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</si>
  <si>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</si>
  <si>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</si>
  <si>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</si>
  <si>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</si>
  <si>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</si>
  <si>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</si>
  <si>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</si>
  <si>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</si>
  <si>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</si>
  <si>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</si>
  <si>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</si>
  <si>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</si>
  <si>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</si>
  <si>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</si>
  <si>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</si>
  <si>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</si>
  <si>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</si>
  <si>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</si>
  <si>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</si>
  <si>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</si>
  <si>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</si>
  <si>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</si>
  <si>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</si>
  <si>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</si>
  <si>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</si>
  <si>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</si>
  <si>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</si>
  <si>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</si>
  <si>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</si>
  <si>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</si>
  <si>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</si>
  <si>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</si>
  <si>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</si>
  <si>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</si>
  <si>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</si>
  <si>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</si>
  <si>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</si>
  <si>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</si>
  <si>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</si>
  <si>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</si>
  <si>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</si>
  <si>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</si>
  <si>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</si>
  <si>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</si>
  <si>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</si>
  <si>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</si>
  <si>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</si>
  <si>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</si>
  <si>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</si>
  <si>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</si>
  <si>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</si>
  <si>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</si>
  <si>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</si>
  <si>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</si>
  <si>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</si>
  <si>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</si>
  <si>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</si>
  <si>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</si>
  <si>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</si>
  <si>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</si>
  <si>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</si>
  <si>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</si>
  <si>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</si>
  <si>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</si>
  <si>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</si>
  <si>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</si>
  <si>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</si>
  <si>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</si>
  <si>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</si>
  <si>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</si>
  <si>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</si>
  <si>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</si>
  <si>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</si>
  <si>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</si>
  <si>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</si>
  <si>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</si>
  <si>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</si>
  <si>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</si>
  <si>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</si>
  <si>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</si>
  <si>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</si>
  <si>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</si>
  <si>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</si>
  <si>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</si>
  <si>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</si>
  <si>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</si>
  <si>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</si>
  <si>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</si>
  <si>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</si>
  <si>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</si>
  <si>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</si>
  <si>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</si>
  <si>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</si>
  <si>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</si>
  <si>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</si>
  <si>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</si>
  <si>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</si>
  <si>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</si>
  <si>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</si>
  <si>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</si>
  <si>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</si>
  <si>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</si>
  <si>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</si>
  <si>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</si>
  <si>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</si>
  <si>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</si>
  <si>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</si>
  <si>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</si>
  <si>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</si>
  <si>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</si>
  <si>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</si>
  <si>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</si>
  <si>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</si>
  <si>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</si>
  <si>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</si>
  <si>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</si>
  <si>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</si>
  <si>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</si>
  <si>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</si>
  <si>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</si>
  <si>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</si>
  <si>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</si>
  <si>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</si>
  <si>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</si>
  <si>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</si>
  <si>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</si>
  <si>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</si>
  <si>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</si>
  <si>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</si>
  <si>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</si>
  <si>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</si>
  <si>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</si>
  <si>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</si>
  <si>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</si>
  <si>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</si>
  <si>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</si>
  <si>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</si>
  <si>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</si>
  <si>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</si>
  <si>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</si>
  <si>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</si>
  <si>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</si>
  <si>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</si>
  <si>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</si>
  <si>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</si>
  <si>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</si>
  <si>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</si>
  <si>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</si>
  <si>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</si>
  <si>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</si>
  <si>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</si>
  <si>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</si>
  <si>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</si>
  <si>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</si>
  <si>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</si>
  <si>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</si>
  <si>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</si>
  <si>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</si>
  <si>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</si>
  <si>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</si>
  <si>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</si>
  <si>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</si>
  <si>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</si>
  <si>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</si>
  <si>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</si>
  <si>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</si>
  <si>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</si>
  <si>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</si>
  <si>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</si>
  <si>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</si>
  <si>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</si>
  <si>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</si>
  <si>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</si>
  <si>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</si>
  <si>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</si>
  <si>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</si>
  <si>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</si>
  <si>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</si>
  <si>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</si>
  <si>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</si>
  <si>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</si>
  <si>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</si>
  <si>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</si>
  <si>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</si>
  <si>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</si>
  <si>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</si>
  <si>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</si>
  <si>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</si>
  <si>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</si>
  <si>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</si>
  <si>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</si>
  <si>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</si>
  <si>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</si>
  <si>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</si>
  <si>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</si>
  <si>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</si>
  <si>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</si>
  <si>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</si>
  <si>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</si>
  <si>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</si>
  <si>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</si>
  <si>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</si>
  <si>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</si>
  <si>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</si>
  <si>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</si>
  <si>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</si>
  <si>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</si>
  <si>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</si>
  <si>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</si>
  <si>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</si>
  <si>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</si>
  <si>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</si>
  <si>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</si>
  <si>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</si>
  <si>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</si>
  <si>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</si>
  <si>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</si>
  <si>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</si>
  <si>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</si>
  <si>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</si>
  <si>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</si>
  <si>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</si>
  <si>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</si>
  <si>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</si>
  <si>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</si>
  <si>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</si>
  <si>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</si>
  <si>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</si>
  <si>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</si>
  <si>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</si>
  <si>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</si>
  <si>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</si>
  <si>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</si>
  <si>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</si>
  <si>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</si>
  <si>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</si>
  <si>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</si>
  <si>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</si>
  <si>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</si>
  <si>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</si>
  <si>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</si>
  <si>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</si>
  <si>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</si>
  <si>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</si>
  <si>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</si>
  <si>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</si>
  <si>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</si>
  <si>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</si>
  <si>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</si>
  <si>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</si>
  <si>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</si>
  <si>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</si>
  <si>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</si>
  <si>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</si>
  <si>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</si>
  <si>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</si>
  <si>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</si>
  <si>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</si>
  <si>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</si>
  <si>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</si>
  <si>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</si>
  <si>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</si>
  <si>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</si>
  <si>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</si>
  <si>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</si>
  <si>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</si>
  <si>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</si>
  <si>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</si>
  <si>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</si>
  <si>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</si>
  <si>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</si>
  <si>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</si>
  <si>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</si>
  <si>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</si>
  <si>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</si>
  <si>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</si>
  <si>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</si>
  <si>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</si>
  <si>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</si>
  <si>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</si>
  <si>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</si>
  <si>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</si>
  <si>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</si>
  <si>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</si>
  <si>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</si>
  <si>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</si>
  <si>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</si>
  <si>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</si>
  <si>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</si>
  <si>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</si>
  <si>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</si>
  <si>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</si>
  <si>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</si>
  <si>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</si>
  <si>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</si>
  <si>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</si>
  <si>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</si>
  <si>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</si>
  <si>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</si>
  <si>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</si>
  <si>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</si>
  <si>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</si>
  <si>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</si>
  <si>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</si>
  <si>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</si>
  <si>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</si>
  <si>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</si>
  <si>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</si>
  <si>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</si>
  <si>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</si>
  <si>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</si>
  <si>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</si>
  <si>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</si>
  <si>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</si>
  <si>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</si>
  <si>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</si>
  <si>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</si>
  <si>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</si>
  <si>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</si>
  <si>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</si>
  <si>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</si>
  <si>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</si>
  <si>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</si>
  <si>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</si>
  <si>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</si>
  <si>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</si>
  <si>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</si>
  <si>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</si>
  <si>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</si>
  <si>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</si>
  <si>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</si>
  <si>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</si>
  <si>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</si>
  <si>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</si>
  <si>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</si>
  <si>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</si>
  <si>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</si>
  <si>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</si>
  <si>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</si>
  <si>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</si>
  <si>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</si>
  <si>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</si>
  <si>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</si>
  <si>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</si>
  <si>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</si>
  <si>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</si>
  <si>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</si>
  <si>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</si>
  <si>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</si>
  <si>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</si>
  <si>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</si>
  <si>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</si>
  <si>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</si>
  <si>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</si>
  <si>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</si>
  <si>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</si>
  <si>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</si>
  <si>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</si>
  <si>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</si>
  <si>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</si>
  <si>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</si>
  <si>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</si>
  <si>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</si>
  <si>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</si>
  <si>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</si>
  <si>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</si>
  <si>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</si>
  <si>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</si>
  <si>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</si>
  <si>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</si>
  <si>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</si>
  <si>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</si>
  <si>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</si>
  <si>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</si>
  <si>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</si>
  <si>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</si>
  <si>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</si>
  <si>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</si>
  <si>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</si>
  <si>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</si>
  <si>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</si>
  <si>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</si>
  <si>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</si>
  <si>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</si>
  <si>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</si>
  <si>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</si>
  <si>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</si>
  <si>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</si>
  <si>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</si>
  <si>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</si>
  <si>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</si>
  <si>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</si>
  <si>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</si>
  <si>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</si>
  <si>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</si>
  <si>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</si>
  <si>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</si>
  <si>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</si>
  <si>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</si>
  <si>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</si>
  <si>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</si>
  <si>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</si>
  <si>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</si>
  <si>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</si>
  <si>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</si>
  <si>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</si>
  <si>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</si>
  <si>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</si>
  <si>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</si>
  <si>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</si>
  <si>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</si>
  <si>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</si>
  <si>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</si>
  <si>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</si>
  <si>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</si>
  <si>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</si>
  <si>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</si>
  <si>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</si>
  <si>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</si>
  <si>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</si>
  <si>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</si>
  <si>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</si>
  <si>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</si>
  <si>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</si>
  <si>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</si>
  <si>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</si>
  <si>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</si>
  <si>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</si>
  <si>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</si>
  <si>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</si>
  <si>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</si>
  <si>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</si>
  <si>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</si>
  <si>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</si>
  <si>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</si>
  <si>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</si>
  <si>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</si>
  <si>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</si>
  <si>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</si>
  <si>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</si>
  <si>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</si>
  <si>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</si>
  <si>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</si>
  <si>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</si>
  <si>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</si>
  <si>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</si>
  <si>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</si>
  <si>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</si>
  <si>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</si>
  <si>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</si>
  <si>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</si>
  <si>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</si>
  <si>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</si>
  <si>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</si>
  <si>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</si>
  <si>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</si>
  <si>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</si>
  <si>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</si>
  <si>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</si>
  <si>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</si>
  <si>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</si>
  <si>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</si>
  <si>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</si>
  <si>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</si>
  <si>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</si>
  <si>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</si>
  <si>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</si>
  <si>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</si>
  <si>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</si>
  <si>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</si>
  <si>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</si>
  <si>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</si>
  <si>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</si>
  <si>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</si>
  <si>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</si>
  <si>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</si>
  <si>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</si>
  <si>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</si>
  <si>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</si>
  <si>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</si>
  <si>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</si>
  <si>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</si>
  <si>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</si>
  <si>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</si>
  <si>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</si>
  <si>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</si>
  <si>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</si>
  <si>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</si>
  <si>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</si>
  <si>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</si>
  <si>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</si>
  <si>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</si>
  <si>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</si>
  <si>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</si>
  <si>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</si>
  <si>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</si>
  <si>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</si>
  <si>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</si>
  <si>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</si>
  <si>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</si>
  <si>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</si>
  <si>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</si>
  <si>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</si>
  <si>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</si>
  <si>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</si>
  <si>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</si>
  <si>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</si>
  <si>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</si>
  <si>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</si>
  <si>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</si>
  <si>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</si>
  <si>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</si>
  <si>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</si>
  <si>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</si>
  <si>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</si>
  <si>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</si>
  <si>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</si>
  <si>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</si>
  <si>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</si>
  <si>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</si>
  <si>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</si>
  <si>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</si>
  <si>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</si>
  <si>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</si>
  <si>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</si>
  <si>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</si>
  <si>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</si>
  <si>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</si>
  <si>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</si>
  <si>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</si>
  <si>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</si>
  <si>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</si>
  <si>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</si>
  <si>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</si>
  <si>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</si>
  <si>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</si>
  <si>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</si>
  <si>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</si>
  <si>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</si>
  <si>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</si>
  <si>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</si>
  <si>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</si>
  <si>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</si>
  <si>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</si>
  <si>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</si>
  <si>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</si>
  <si>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</si>
  <si>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</si>
  <si>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</si>
  <si>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</si>
  <si>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</si>
  <si>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</si>
  <si>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</si>
  <si>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</si>
  <si>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</si>
  <si>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</si>
  <si>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</si>
  <si>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</si>
  <si>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</si>
  <si>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</si>
  <si>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</si>
  <si>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</si>
  <si>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</si>
  <si>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</si>
  <si>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</si>
  <si>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</si>
  <si>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</si>
  <si>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</si>
  <si>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</si>
  <si>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</si>
  <si>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</si>
  <si>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</si>
  <si>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</si>
  <si>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</si>
  <si>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</si>
  <si>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</si>
  <si>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</si>
  <si>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</si>
  <si>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</si>
  <si>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</si>
  <si>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</si>
  <si>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</si>
  <si>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</si>
  <si>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</si>
  <si>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</si>
  <si>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</si>
  <si>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</si>
  <si>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</si>
  <si>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</si>
  <si>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</si>
  <si>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</si>
  <si>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</si>
  <si>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</si>
  <si>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</si>
  <si>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</si>
  <si>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</si>
  <si>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</si>
  <si>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</si>
  <si>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</si>
  <si>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</si>
  <si>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</si>
  <si>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</si>
  <si>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</si>
  <si>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</si>
  <si>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</si>
  <si>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</si>
  <si>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</si>
  <si>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</si>
  <si>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</si>
  <si>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</si>
  <si>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</si>
  <si>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</si>
  <si>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</si>
  <si>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</si>
  <si>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</si>
  <si>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</si>
  <si>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</si>
  <si>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</si>
  <si>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</si>
  <si>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</si>
  <si>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</si>
  <si>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</si>
  <si>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</si>
  <si>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</si>
  <si>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</si>
  <si>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</si>
  <si>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</si>
  <si>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</si>
  <si>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</si>
  <si>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</si>
  <si>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</si>
  <si>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</si>
  <si>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</si>
  <si>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</si>
  <si>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</si>
  <si>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</si>
  <si>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</si>
  <si>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</si>
  <si>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</si>
  <si>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</si>
  <si>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</si>
  <si>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</si>
  <si>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</si>
  <si>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</si>
  <si>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</si>
  <si>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</si>
  <si>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</si>
  <si>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</si>
  <si>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</si>
  <si>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</si>
  <si>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</si>
  <si>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</si>
  <si>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</si>
  <si>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</si>
  <si>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</si>
  <si>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</si>
  <si>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</si>
  <si>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</si>
  <si>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</si>
  <si>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</si>
  <si>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</si>
  <si>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</si>
  <si>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</si>
  <si>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</si>
  <si>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</si>
  <si>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</si>
  <si>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</si>
  <si>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</si>
  <si>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</si>
  <si>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</si>
  <si>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</si>
  <si>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</si>
  <si>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</si>
  <si>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</si>
  <si>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</si>
  <si>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</si>
  <si>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</si>
  <si>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</si>
  <si>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</si>
  <si>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</si>
  <si>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</si>
  <si>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</si>
  <si>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</si>
  <si>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</si>
  <si>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</si>
  <si>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</si>
  <si>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</si>
  <si>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</si>
  <si>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</si>
  <si>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</si>
  <si>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</si>
  <si>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</si>
  <si>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</si>
  <si>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</si>
  <si>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</si>
  <si>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</si>
  <si>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</si>
  <si>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</si>
  <si>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</si>
  <si>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</si>
  <si>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</si>
  <si>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</si>
  <si>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</si>
  <si>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</si>
  <si>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</si>
  <si>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</si>
  <si>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</si>
  <si>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</si>
  <si>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</si>
  <si>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</si>
  <si>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</si>
  <si>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</si>
  <si>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</si>
  <si>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</si>
  <si>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</si>
  <si>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</si>
  <si>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</si>
  <si>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</si>
  <si>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</si>
  <si>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</si>
  <si>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</si>
  <si>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</si>
  <si>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</si>
  <si>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</si>
  <si>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</si>
  <si>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</si>
  <si>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</si>
  <si>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</si>
  <si>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</si>
  <si>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</si>
  <si>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</si>
  <si>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</si>
  <si>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</si>
  <si>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</si>
  <si>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</si>
  <si>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</si>
  <si>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</si>
  <si>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</si>
  <si>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</si>
  <si>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</si>
  <si>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</si>
  <si>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</si>
  <si>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</si>
  <si>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</si>
  <si>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</si>
  <si>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</si>
  <si>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</si>
  <si>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</si>
  <si>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</si>
  <si>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</si>
  <si>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</si>
  <si>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</si>
  <si>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</si>
  <si>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</si>
  <si>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</si>
  <si>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</si>
  <si>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</si>
  <si>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</si>
  <si>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</si>
  <si>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</si>
  <si>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</si>
  <si>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</si>
  <si>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</si>
  <si>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</si>
  <si>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</si>
  <si>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</si>
  <si>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</si>
  <si>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</si>
  <si>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</si>
  <si>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</si>
  <si>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</si>
  <si>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</si>
  <si>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</si>
  <si>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</si>
  <si>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</si>
  <si>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</si>
  <si>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</si>
  <si>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</si>
  <si>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</si>
  <si>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</si>
  <si>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</si>
  <si>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</si>
  <si>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</si>
  <si>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</si>
  <si>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</si>
  <si>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</si>
  <si>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</si>
  <si>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</si>
  <si>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</si>
  <si>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</si>
  <si>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</si>
  <si>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</si>
  <si>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</si>
  <si>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</si>
  <si>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</si>
  <si>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</si>
  <si>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</si>
  <si>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</si>
  <si>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</si>
  <si>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</si>
  <si>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</si>
  <si>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</si>
  <si>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</si>
  <si>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</si>
  <si>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</si>
  <si>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</si>
  <si>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</si>
  <si>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</si>
  <si>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</si>
  <si>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</si>
  <si>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</si>
  <si>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</si>
  <si>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</si>
  <si>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</si>
  <si>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</si>
  <si>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</si>
  <si>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</si>
  <si>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</si>
  <si>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</si>
  <si>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</si>
  <si>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</si>
  <si>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</si>
  <si>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</si>
  <si>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</si>
  <si>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</si>
  <si>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</si>
  <si>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</si>
  <si>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</si>
  <si>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</si>
  <si>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</si>
  <si>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</si>
  <si>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</si>
  <si>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</si>
  <si>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</si>
  <si>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</si>
  <si>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</si>
  <si>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</si>
  <si>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</si>
  <si>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</si>
  <si>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</si>
  <si>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</si>
  <si>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</si>
  <si>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</si>
  <si>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</si>
  <si>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</si>
  <si>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</si>
  <si>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</si>
  <si>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</si>
  <si>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</si>
  <si>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</si>
  <si>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</si>
  <si>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</si>
  <si>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</si>
  <si>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</si>
  <si>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</si>
  <si>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</si>
  <si>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</si>
  <si>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</si>
  <si>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</si>
  <si>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</si>
  <si>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</si>
  <si>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</si>
  <si>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</si>
  <si>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</si>
  <si>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</si>
  <si>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</si>
  <si>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</si>
  <si>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</si>
  <si>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</si>
  <si>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</si>
  <si>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</si>
  <si>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</si>
  <si>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</si>
  <si>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</si>
  <si>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</si>
  <si>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</si>
  <si>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</si>
  <si>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</si>
  <si>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</si>
  <si>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</si>
  <si>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</si>
  <si>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</si>
  <si>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</si>
  <si>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</si>
  <si>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</si>
  <si>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</si>
  <si>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</si>
  <si>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</si>
  <si>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</si>
  <si>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</si>
  <si>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</si>
  <si>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</si>
  <si>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</si>
  <si>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</si>
  <si>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</si>
  <si>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</si>
  <si>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</si>
  <si>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</si>
  <si>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</si>
  <si>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</si>
  <si>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</si>
  <si>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</si>
  <si>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</si>
  <si>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</si>
  <si>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</si>
  <si>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</si>
  <si>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</si>
  <si>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</si>
  <si>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</si>
  <si>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</si>
  <si>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</si>
  <si>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</si>
  <si>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</si>
  <si>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</si>
  <si>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</si>
  <si>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</si>
  <si>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</si>
  <si>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</si>
  <si>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</si>
  <si>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</si>
  <si>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</si>
  <si>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</si>
  <si>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</si>
  <si>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</si>
  <si>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</si>
  <si>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</si>
  <si>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</si>
  <si>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</si>
  <si>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</si>
  <si>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</si>
  <si>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</si>
  <si>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</si>
  <si>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</si>
  <si>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</si>
  <si>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</si>
  <si>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</si>
  <si>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</si>
  <si>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</si>
  <si>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</si>
  <si>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</si>
  <si>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</si>
  <si>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</si>
  <si>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</si>
  <si>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</si>
  <si>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</si>
  <si>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</si>
  <si>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</si>
  <si>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</si>
  <si>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</si>
  <si>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</si>
  <si>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</si>
  <si>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</si>
  <si>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</si>
  <si>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</si>
  <si>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</si>
  <si>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</si>
  <si>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</si>
  <si>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</si>
  <si>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</si>
  <si>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</si>
  <si>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</si>
  <si>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</si>
  <si>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</si>
  <si>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</si>
  <si>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</si>
  <si>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</si>
  <si>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</si>
  <si>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</si>
  <si>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</si>
  <si>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</si>
  <si>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</si>
  <si>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</si>
  <si>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</si>
  <si>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</si>
  <si>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</si>
  <si>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</si>
  <si>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</si>
  <si>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</si>
  <si>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</si>
  <si>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</si>
  <si>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</si>
  <si>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</si>
  <si>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</si>
  <si>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</si>
  <si>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</si>
  <si>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</si>
  <si>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</si>
  <si>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</si>
  <si>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</si>
  <si>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</si>
  <si>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</si>
  <si>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</si>
  <si>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</si>
  <si>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</si>
  <si>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</si>
  <si>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</si>
  <si>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</si>
  <si>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</si>
  <si>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</si>
  <si>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</si>
  <si>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</si>
  <si>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</si>
  <si>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</si>
  <si>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</si>
  <si>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</si>
  <si>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</si>
  <si>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</si>
  <si>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</si>
  <si>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</si>
  <si>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</si>
  <si>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</si>
  <si>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</si>
  <si>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</si>
  <si>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</si>
  <si>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</si>
  <si>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</si>
  <si>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</si>
  <si>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</si>
  <si>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</si>
  <si>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</si>
  <si>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</si>
  <si>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</si>
  <si>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</si>
  <si>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</si>
  <si>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</si>
  <si>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</si>
  <si>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</si>
  <si>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</si>
  <si>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</si>
  <si>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</si>
  <si>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</si>
  <si>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</si>
  <si>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</si>
  <si>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</si>
  <si>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</si>
  <si>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</si>
  <si>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</si>
  <si>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</si>
  <si>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</si>
  <si>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</si>
  <si>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</si>
  <si>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</si>
  <si>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</si>
  <si>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</si>
  <si>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</si>
  <si>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</si>
  <si>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</si>
  <si>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</si>
  <si>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</si>
  <si>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</si>
  <si>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</si>
  <si>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</si>
  <si>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</si>
  <si>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</si>
  <si>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</si>
  <si>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</si>
  <si>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</si>
  <si>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</si>
  <si>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</si>
  <si>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</si>
  <si>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</si>
  <si>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</si>
  <si>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</si>
  <si>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</si>
  <si>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</si>
  <si>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</si>
  <si>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</si>
  <si>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</si>
  <si>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</si>
  <si>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</si>
  <si>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</si>
  <si>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</si>
  <si>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</si>
  <si>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</si>
  <si>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</si>
  <si>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</si>
  <si>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</si>
  <si>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</si>
  <si>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</si>
  <si>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</si>
  <si>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</si>
  <si>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</si>
  <si>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</si>
  <si>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</si>
  <si>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</si>
  <si>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</si>
  <si>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</si>
  <si>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</si>
  <si>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</si>
  <si>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</si>
  <si>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</si>
  <si>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</si>
  <si>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</si>
  <si>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</si>
  <si>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</si>
  <si>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</si>
  <si>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</si>
  <si>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</si>
  <si>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</si>
  <si>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</si>
  <si>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</si>
  <si>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</si>
  <si>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</si>
  <si>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</si>
  <si>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</si>
  <si>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</si>
  <si>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</si>
  <si>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</si>
  <si>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</si>
  <si>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</si>
  <si>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</si>
  <si>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</si>
  <si>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</si>
  <si>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</si>
  <si>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</si>
  <si>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</si>
  <si>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</si>
  <si>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</si>
  <si>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</si>
  <si>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</si>
  <si>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</si>
  <si>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</si>
  <si>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</si>
  <si>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</si>
  <si>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</si>
  <si>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</si>
  <si>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</si>
  <si>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</si>
  <si>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</si>
  <si>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</si>
  <si>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</si>
  <si>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</si>
  <si>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</si>
  <si>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</si>
  <si>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</si>
  <si>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</si>
  <si>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</si>
  <si>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</si>
  <si>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</si>
  <si>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</si>
  <si>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</si>
  <si>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</si>
  <si>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</si>
  <si>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</si>
  <si>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</si>
  <si>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</si>
  <si>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</si>
  <si>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</si>
  <si>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</si>
  <si>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</si>
  <si>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</si>
  <si>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</si>
  <si>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</si>
  <si>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</si>
  <si>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</si>
  <si>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</si>
  <si>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</si>
  <si>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</si>
  <si>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</si>
  <si>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</si>
  <si>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</si>
  <si>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</si>
  <si>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</si>
  <si>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</si>
  <si>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</si>
  <si>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</si>
  <si>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</si>
  <si>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</si>
  <si>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</si>
  <si>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</si>
  <si>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</si>
  <si>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</si>
  <si>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</si>
  <si>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</si>
  <si>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</si>
  <si>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</si>
  <si>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</si>
  <si>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</si>
  <si>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</si>
  <si>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</si>
  <si>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</si>
  <si>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</si>
  <si>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</si>
  <si>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</si>
  <si>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</si>
  <si>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</si>
  <si>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</si>
  <si>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</si>
  <si>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</si>
  <si>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</si>
  <si>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</si>
  <si>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</si>
  <si>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</si>
  <si>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</si>
  <si>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</si>
  <si>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</si>
  <si>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</si>
  <si>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</si>
  <si>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</si>
  <si>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</si>
  <si>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</si>
  <si>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</si>
  <si>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</si>
  <si>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</si>
  <si>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</si>
  <si>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</si>
  <si>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</si>
  <si>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</si>
  <si>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</si>
  <si>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</si>
  <si>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</si>
  <si>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</si>
  <si>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</si>
  <si>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</si>
  <si>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</si>
  <si>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</si>
  <si>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</si>
  <si>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</si>
  <si>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</si>
  <si>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</si>
  <si>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</si>
  <si>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</si>
  <si>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</si>
  <si>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</si>
  <si>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</si>
  <si>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</si>
  <si>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</si>
  <si>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</si>
  <si>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</si>
  <si>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</si>
  <si>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</si>
  <si>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</si>
  <si>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</si>
  <si>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</si>
  <si>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</si>
  <si>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</si>
  <si>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</si>
  <si>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</si>
  <si>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</si>
  <si>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</si>
  <si>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</si>
  <si>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</si>
  <si>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</si>
  <si>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</si>
  <si>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</si>
  <si>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</si>
  <si>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</si>
  <si>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</si>
  <si>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</si>
  <si>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</si>
  <si>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</si>
  <si>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</si>
  <si>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</si>
  <si>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</si>
  <si>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</si>
  <si>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</si>
  <si>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</si>
  <si>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</si>
  <si>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</si>
  <si>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</si>
  <si>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</si>
  <si>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</si>
  <si>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</si>
  <si>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</si>
  <si>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</si>
  <si>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</si>
  <si>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</si>
  <si>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</si>
  <si>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</si>
  <si>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</si>
  <si>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</si>
  <si>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</si>
  <si>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</si>
  <si>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</si>
  <si>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</si>
  <si>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</si>
  <si>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</si>
  <si>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</si>
  <si>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</si>
  <si>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</si>
  <si>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</si>
  <si>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</si>
  <si>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</si>
  <si>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</si>
  <si>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</si>
  <si>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</si>
  <si>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</si>
  <si>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</si>
  <si>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</si>
  <si>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</si>
  <si>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</si>
  <si>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</si>
  <si>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</si>
  <si>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</si>
  <si>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</si>
  <si>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</si>
  <si>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</si>
  <si>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</si>
  <si>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</si>
  <si>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</si>
  <si>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</si>
  <si>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</si>
  <si>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</si>
  <si>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</si>
  <si>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</si>
  <si>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</si>
  <si>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</si>
  <si>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</si>
  <si>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</si>
  <si>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</si>
  <si>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</si>
  <si>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</si>
  <si>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</si>
  <si>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</si>
  <si>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</si>
  <si>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</si>
  <si>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</si>
  <si>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</si>
  <si>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</si>
  <si>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</si>
  <si>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</si>
  <si>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</si>
  <si>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</si>
  <si>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</si>
  <si>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</si>
  <si>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</si>
  <si>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</si>
  <si>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</si>
  <si>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</si>
  <si>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</si>
  <si>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</si>
  <si>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</si>
  <si>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</si>
  <si>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</si>
  <si>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</si>
  <si>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</si>
  <si>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</si>
  <si>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</si>
  <si>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</si>
  <si>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</si>
  <si>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</si>
  <si>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</si>
  <si>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</si>
  <si>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</si>
  <si>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</si>
  <si>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</si>
  <si>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</si>
  <si>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</si>
  <si>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</si>
  <si>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</si>
  <si>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</si>
  <si>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</si>
  <si>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</si>
  <si>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</si>
  <si>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</si>
  <si>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</si>
  <si>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</si>
  <si>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</si>
  <si>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</si>
  <si>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</si>
  <si>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</si>
  <si>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</si>
  <si>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</si>
  <si>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</si>
  <si>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</si>
  <si>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</si>
  <si>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</si>
  <si>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</si>
  <si>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</si>
  <si>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</si>
  <si>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</si>
  <si>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</si>
  <si>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</si>
  <si>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</si>
  <si>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</si>
  <si>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</si>
  <si>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</si>
  <si>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</si>
  <si>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</si>
  <si>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</si>
  <si>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</si>
  <si>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</si>
  <si>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</si>
  <si>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</si>
  <si>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</si>
  <si>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</si>
  <si>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</si>
  <si>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</si>
  <si>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</si>
  <si>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</si>
  <si>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</si>
  <si>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</si>
  <si>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</si>
  <si>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</si>
  <si>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</si>
  <si>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</si>
  <si>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</si>
  <si>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</si>
  <si>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</si>
  <si>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</si>
  <si>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</si>
  <si>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</si>
  <si>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</si>
  <si>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</si>
  <si>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</si>
  <si>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</si>
  <si>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</si>
  <si>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</si>
  <si>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</si>
  <si>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</si>
  <si>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</si>
  <si>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</si>
  <si>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</si>
  <si>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</si>
  <si>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</si>
  <si>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</si>
  <si>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</si>
  <si>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</si>
  <si>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</si>
  <si>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</si>
  <si>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</si>
  <si>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</si>
  <si>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</si>
  <si>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</si>
  <si>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</si>
  <si>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</si>
  <si>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</si>
  <si>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</si>
  <si>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</si>
  <si>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</si>
  <si>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</si>
  <si>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</si>
  <si>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</si>
  <si>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</si>
  <si>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</si>
  <si>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</si>
  <si>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</si>
  <si>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</si>
  <si>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</si>
  <si>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</si>
  <si>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</si>
  <si>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</si>
  <si>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</si>
  <si>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</si>
  <si>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</si>
  <si>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</si>
  <si>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</si>
  <si>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</si>
  <si>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</si>
  <si>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</si>
  <si>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</si>
  <si>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</si>
  <si>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</si>
  <si>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</si>
  <si>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</si>
  <si>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</si>
  <si>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</si>
  <si>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</si>
  <si>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</si>
  <si>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</si>
  <si>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</si>
  <si>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</si>
  <si>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</si>
  <si>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</si>
  <si>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</si>
  <si>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</si>
  <si>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</si>
  <si>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</si>
  <si>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</si>
  <si>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</si>
  <si>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</si>
  <si>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</si>
  <si>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</si>
  <si>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</si>
  <si>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</si>
  <si>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</si>
  <si>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</si>
  <si>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</si>
  <si>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</si>
  <si>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</si>
  <si>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</si>
  <si>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</si>
  <si>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</si>
  <si>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</si>
  <si>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</si>
  <si>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</si>
  <si>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</si>
  <si>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</si>
  <si>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</si>
  <si>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</si>
  <si>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</si>
  <si>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</si>
  <si>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</si>
  <si>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</si>
  <si>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</si>
  <si>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</si>
  <si>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</si>
  <si>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</si>
  <si>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</si>
  <si>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</si>
  <si>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</si>
  <si>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</si>
  <si>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</si>
  <si>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</si>
  <si>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</si>
  <si>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</si>
  <si>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</si>
  <si>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</si>
  <si>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</si>
  <si>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</si>
  <si>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</si>
  <si>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</si>
  <si>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</si>
  <si>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</si>
  <si>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</si>
  <si>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</si>
  <si>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</si>
  <si>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</si>
  <si>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</si>
  <si>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</si>
  <si>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</si>
  <si>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</si>
  <si>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</si>
  <si>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</si>
  <si>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</si>
  <si>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</si>
  <si>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</si>
  <si>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</si>
  <si>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</si>
  <si>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</si>
  <si>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</si>
  <si>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</si>
  <si>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</si>
  <si>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</si>
  <si>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</si>
  <si>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</si>
  <si>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</si>
  <si>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</si>
  <si>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</si>
  <si>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</si>
  <si>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</si>
  <si>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</si>
  <si>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</si>
  <si>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</si>
  <si>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</si>
  <si>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</si>
  <si>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</si>
  <si>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</si>
  <si>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</si>
  <si>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</si>
  <si>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</si>
  <si>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</si>
  <si>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</si>
  <si>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</si>
  <si>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</si>
  <si>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</si>
  <si>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</si>
  <si>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</si>
  <si>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</si>
  <si>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</si>
  <si>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</si>
  <si>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</si>
  <si>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</si>
  <si>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</si>
  <si>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</si>
  <si>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</si>
  <si>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</si>
  <si>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</si>
  <si>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</si>
  <si>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</si>
  <si>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</si>
  <si>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</si>
  <si>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</si>
  <si>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</si>
  <si>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</si>
  <si>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</si>
  <si>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</si>
  <si>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</si>
  <si>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</si>
  <si>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</si>
  <si>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</si>
  <si>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</si>
  <si>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</si>
  <si>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</si>
  <si>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</si>
  <si>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</si>
  <si>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</si>
  <si>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</si>
  <si>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</si>
  <si>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</si>
  <si>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</si>
  <si>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</si>
  <si>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</si>
  <si>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</si>
  <si>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</si>
  <si>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</si>
  <si>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</si>
  <si>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</si>
  <si>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</si>
  <si>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</si>
  <si>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</si>
  <si>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</si>
  <si>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</si>
  <si>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</si>
  <si>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</si>
  <si>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</si>
  <si>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</si>
  <si>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</si>
  <si>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</si>
  <si>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</si>
  <si>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</si>
  <si>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</si>
  <si>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</si>
  <si>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</si>
  <si>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</si>
  <si>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</si>
  <si>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</si>
  <si>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</si>
  <si>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</si>
  <si>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</si>
  <si>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</si>
  <si>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</si>
  <si>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</si>
  <si>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</si>
  <si>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</si>
  <si>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</si>
  <si>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</si>
  <si>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</si>
  <si>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</si>
  <si>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</si>
  <si>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</si>
  <si>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</si>
  <si>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</si>
  <si>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</si>
  <si>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</si>
  <si>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</si>
  <si>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</si>
  <si>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</si>
  <si>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</si>
  <si>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</si>
  <si>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</si>
  <si>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</si>
  <si>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</si>
  <si>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</si>
  <si>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</si>
  <si>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</si>
  <si>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</si>
  <si>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</si>
  <si>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</si>
  <si>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</si>
  <si>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</si>
  <si>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</si>
  <si>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</si>
  <si>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</si>
  <si>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</si>
  <si>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</si>
  <si>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</si>
  <si>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</si>
  <si>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</si>
  <si>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</si>
  <si>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</si>
  <si>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</si>
  <si>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</si>
  <si>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</si>
  <si>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</si>
  <si>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</si>
  <si>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</si>
  <si>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</si>
  <si>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</si>
  <si>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</si>
  <si>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</si>
  <si>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</si>
  <si>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</si>
  <si>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</si>
  <si>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</si>
  <si>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</si>
  <si>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</si>
  <si>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</si>
  <si>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</si>
  <si>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</si>
  <si>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</si>
  <si>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</si>
  <si>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</si>
  <si>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</si>
  <si>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</si>
  <si>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</si>
  <si>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</si>
  <si>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</si>
  <si>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</si>
  <si>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</si>
  <si>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</si>
  <si>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</si>
  <si>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</si>
  <si>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</si>
  <si>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</si>
  <si>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</si>
  <si>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</si>
  <si>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</si>
  <si>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</si>
  <si>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</si>
  <si>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</si>
  <si>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</si>
  <si>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</si>
  <si>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</si>
  <si>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</si>
  <si>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</si>
  <si>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</si>
  <si>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</si>
  <si>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</si>
  <si>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</si>
  <si>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</si>
  <si>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</si>
  <si>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</si>
  <si>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</si>
  <si>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</si>
  <si>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</si>
  <si>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</si>
  <si>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</si>
  <si>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</si>
  <si>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</si>
  <si>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</si>
  <si>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</si>
  <si>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</si>
  <si>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</si>
  <si>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</si>
  <si>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</si>
  <si>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</si>
  <si>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</si>
  <si>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</si>
  <si>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</si>
  <si>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</si>
  <si>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</si>
  <si>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</si>
  <si>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</si>
  <si>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</si>
  <si>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</si>
  <si>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</si>
  <si>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</si>
  <si>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</si>
  <si>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</si>
  <si>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</si>
  <si>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</si>
  <si>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</si>
  <si>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</si>
  <si>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</si>
  <si>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</si>
  <si>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</si>
  <si>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</si>
  <si>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</si>
  <si>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</si>
  <si>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</si>
  <si>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</si>
  <si>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</si>
  <si>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</si>
  <si>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</si>
  <si>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</si>
  <si>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</si>
  <si>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</si>
  <si>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</si>
  <si>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</si>
  <si>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</si>
  <si>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</si>
  <si>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</si>
  <si>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</si>
  <si>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</si>
  <si>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</si>
  <si>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</si>
  <si>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</si>
  <si>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</si>
  <si>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</si>
  <si>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</si>
  <si>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</si>
  <si>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</si>
  <si>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</si>
  <si>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</si>
  <si>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</si>
  <si>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</si>
  <si>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</si>
  <si>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</si>
  <si>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</si>
  <si>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</si>
  <si>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</si>
  <si>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</si>
  <si>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</si>
  <si>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</si>
  <si>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</si>
  <si>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</si>
  <si>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</si>
  <si>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</si>
  <si>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</si>
  <si>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</si>
  <si>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</si>
  <si>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</si>
  <si>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</si>
  <si>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</si>
  <si>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</si>
  <si>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</si>
  <si>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</si>
  <si>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</si>
  <si>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</si>
  <si>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</si>
  <si>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</si>
  <si>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</si>
  <si>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</si>
  <si>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</si>
  <si>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</si>
  <si>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</si>
  <si>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</si>
  <si>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</si>
  <si>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</si>
  <si>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</si>
  <si>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</si>
  <si>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</si>
  <si>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</si>
  <si>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</si>
  <si>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</si>
  <si>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</si>
  <si>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</si>
  <si>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</si>
  <si>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</si>
  <si>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</si>
  <si>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</si>
  <si>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</si>
  <si>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</si>
  <si>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</si>
  <si>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</si>
  <si>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</si>
  <si>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</si>
  <si>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</si>
  <si>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</si>
  <si>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</si>
  <si>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</si>
  <si>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</si>
  <si>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</si>
  <si>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</si>
  <si>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</si>
  <si>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</si>
  <si>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</si>
  <si>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</si>
  <si>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</si>
  <si>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</si>
  <si>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</si>
  <si>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</si>
  <si>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</si>
  <si>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</si>
  <si>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</si>
  <si>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</si>
  <si>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</si>
  <si>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</si>
  <si>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</si>
  <si>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</si>
  <si>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</si>
  <si>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</si>
  <si>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</si>
  <si>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</si>
  <si>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</si>
  <si>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</si>
  <si>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</si>
  <si>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</si>
  <si>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</si>
  <si>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</si>
  <si>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</si>
  <si>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</si>
  <si>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</si>
  <si>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</si>
  <si>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</si>
  <si>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</si>
  <si>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</si>
  <si>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</si>
  <si>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</si>
  <si>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</si>
  <si>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</si>
  <si>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</si>
  <si>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</si>
  <si>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</si>
  <si>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</si>
  <si>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</si>
  <si>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</si>
  <si>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</si>
  <si>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</si>
  <si>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</si>
  <si>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</si>
  <si>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</si>
  <si>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</si>
  <si>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</si>
  <si>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</si>
  <si>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</si>
  <si>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</si>
  <si>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</si>
  <si>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</si>
  <si>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</si>
  <si>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</si>
  <si>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</si>
  <si>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</si>
  <si>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</si>
  <si>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</si>
  <si>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</si>
  <si>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</si>
  <si>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</si>
  <si>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</si>
  <si>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</si>
  <si>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</si>
  <si>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</si>
  <si>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</si>
  <si>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</si>
  <si>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</si>
  <si>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</si>
  <si>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</si>
  <si>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</si>
  <si>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</si>
  <si>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</si>
  <si>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</si>
  <si>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</si>
  <si>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</si>
  <si>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</si>
  <si>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</si>
  <si>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</si>
  <si>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</si>
  <si>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</si>
  <si>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</si>
  <si>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</si>
  <si>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</si>
  <si>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</si>
  <si>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</si>
  <si>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</si>
  <si>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</si>
  <si>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</si>
  <si>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</si>
  <si>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</si>
  <si>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</si>
  <si>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</si>
  <si>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</si>
  <si>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</si>
  <si>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</si>
  <si>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</si>
  <si>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</si>
  <si>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</si>
  <si>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</si>
  <si>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</si>
  <si>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</si>
  <si>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</si>
  <si>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</si>
  <si>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</si>
  <si>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</si>
  <si>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</si>
  <si>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</si>
  <si>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</si>
  <si>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</si>
  <si>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</si>
  <si>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</si>
  <si>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</si>
  <si>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</si>
  <si>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</si>
  <si>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</si>
  <si>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</si>
  <si>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</si>
  <si>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</si>
  <si>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</si>
  <si>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</si>
  <si>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</si>
  <si>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</si>
  <si>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</si>
  <si>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</si>
  <si>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</si>
  <si>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</si>
  <si>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</si>
  <si>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</si>
  <si>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</si>
  <si>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</si>
  <si>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</si>
  <si>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</si>
  <si>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</si>
  <si>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</si>
  <si>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</si>
  <si>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</si>
  <si>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</si>
  <si>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</si>
  <si>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</si>
  <si>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</si>
  <si>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</si>
  <si>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</si>
  <si>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</si>
  <si>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</si>
  <si>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</si>
  <si>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</si>
  <si>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</si>
  <si>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</si>
  <si>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</si>
  <si>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</si>
  <si>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</si>
  <si>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</si>
  <si>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</si>
  <si>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</si>
  <si>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</si>
  <si>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</si>
  <si>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</si>
  <si>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</si>
  <si>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</si>
  <si>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</si>
  <si>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</si>
  <si>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</si>
  <si>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</si>
  <si>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</si>
  <si>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</si>
  <si>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</si>
  <si>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</si>
  <si>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</si>
  <si>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</si>
  <si>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</si>
  <si>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</si>
  <si>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</si>
  <si>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</si>
  <si>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</si>
  <si>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</si>
  <si>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</si>
  <si>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</si>
  <si>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</si>
  <si>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</si>
  <si>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</si>
  <si>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</si>
  <si>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</si>
  <si>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</si>
  <si>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</si>
  <si>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</si>
  <si>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</si>
  <si>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</si>
  <si>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</si>
  <si>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</si>
  <si>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</si>
  <si>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</si>
  <si>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</si>
  <si>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</si>
  <si>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</si>
  <si>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</si>
  <si>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</si>
  <si>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</si>
  <si>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</si>
  <si>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</si>
  <si>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</si>
  <si>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</si>
  <si>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</si>
  <si>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</si>
  <si>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</si>
  <si>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</si>
  <si>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</si>
  <si>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</si>
  <si>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</si>
  <si>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</si>
  <si>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</si>
  <si>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</si>
  <si>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</si>
  <si>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</si>
  <si>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</si>
  <si>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</si>
  <si>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</si>
  <si>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</si>
  <si>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</si>
  <si>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</si>
  <si>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</si>
  <si>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</si>
  <si>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</si>
  <si>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</si>
  <si>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</si>
  <si>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</si>
  <si>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</si>
  <si>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</si>
  <si>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</si>
  <si>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</si>
  <si>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</si>
  <si>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</si>
  <si>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</si>
  <si>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</si>
  <si>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</si>
  <si>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</si>
  <si>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</si>
  <si>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</si>
  <si>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</si>
  <si>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</si>
  <si>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</si>
  <si>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</si>
  <si>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</si>
  <si>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</si>
  <si>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</si>
  <si>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</si>
  <si>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</si>
  <si>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</si>
  <si>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</si>
  <si>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</si>
  <si>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</si>
  <si>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</si>
  <si>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</si>
  <si>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</si>
  <si>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</si>
  <si>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</si>
  <si>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</si>
  <si>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</si>
  <si>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</si>
  <si>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</si>
  <si>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</si>
  <si>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</si>
  <si>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</si>
  <si>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</si>
  <si>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</si>
  <si>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</si>
  <si>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</si>
  <si>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</si>
  <si>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</si>
  <si>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</si>
  <si>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</si>
  <si>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</si>
  <si>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</si>
  <si>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</si>
  <si>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</si>
  <si>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</si>
  <si>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</si>
  <si>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</si>
  <si>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</si>
  <si>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</si>
  <si>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</si>
  <si>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</si>
  <si>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</si>
  <si>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</si>
  <si>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</si>
  <si>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</si>
  <si>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</si>
  <si>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</si>
  <si>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</si>
  <si>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</si>
  <si>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</si>
  <si>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</si>
  <si>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</si>
  <si>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</si>
  <si>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</si>
  <si>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</si>
  <si>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</si>
  <si>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</si>
  <si>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</si>
  <si>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</si>
  <si>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</si>
  <si>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</si>
  <si>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</si>
  <si>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</si>
  <si>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</si>
  <si>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</si>
  <si>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</si>
  <si>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</si>
  <si>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</si>
  <si>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</si>
  <si>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</si>
  <si>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</si>
  <si>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</si>
  <si>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</si>
  <si>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</si>
  <si>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</si>
  <si>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</si>
  <si>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</si>
  <si>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</si>
  <si>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</si>
  <si>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</si>
  <si>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</si>
  <si>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</si>
  <si>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</si>
  <si>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</si>
  <si>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</si>
  <si>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</si>
  <si>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</si>
  <si>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</si>
  <si>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</si>
  <si>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</si>
  <si>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</si>
  <si>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</si>
  <si>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</si>
  <si>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</si>
  <si>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</si>
  <si>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</si>
  <si>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</si>
  <si>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</si>
  <si>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</si>
  <si>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</si>
  <si>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</si>
  <si>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</si>
  <si>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</si>
  <si>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</si>
  <si>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</si>
  <si>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</si>
  <si>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</si>
  <si>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</si>
  <si>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</si>
  <si>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</si>
  <si>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</si>
  <si>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</si>
  <si>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</si>
  <si>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</si>
  <si>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</si>
  <si>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</si>
  <si>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</si>
  <si>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</si>
  <si>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</si>
  <si>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</si>
  <si>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</si>
  <si>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</si>
  <si>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</si>
  <si>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</si>
  <si>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</si>
  <si>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</si>
  <si>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</si>
  <si>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</si>
  <si>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</si>
  <si>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</si>
  <si>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</si>
  <si>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</si>
  <si>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</si>
  <si>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</si>
  <si>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</si>
  <si>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</si>
  <si>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</si>
  <si>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</si>
  <si>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</si>
  <si>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</si>
  <si>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</si>
  <si>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</si>
  <si>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</si>
  <si>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</si>
  <si>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</si>
  <si>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</si>
  <si>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</si>
  <si>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</si>
  <si>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</si>
  <si>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</si>
  <si>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</si>
  <si>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</si>
  <si>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</si>
  <si>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</si>
  <si>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</si>
  <si>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</si>
  <si>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</si>
  <si>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</si>
  <si>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</si>
  <si>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</si>
  <si>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</si>
  <si>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</si>
  <si>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</si>
  <si>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</si>
  <si>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</si>
  <si>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</si>
  <si>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</si>
  <si>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</si>
  <si>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</si>
  <si>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</si>
  <si>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</si>
  <si>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</si>
  <si>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</si>
  <si>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</si>
  <si>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</si>
  <si>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</si>
  <si>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</si>
  <si>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</si>
  <si>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</si>
  <si>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</si>
  <si>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</si>
  <si>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</si>
  <si>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</si>
  <si>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</si>
  <si>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</si>
  <si>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</si>
  <si>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</si>
  <si>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</si>
  <si>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</si>
  <si>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</si>
  <si>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</si>
  <si>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</si>
  <si>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</si>
  <si>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</si>
  <si>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</si>
  <si>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</si>
  <si>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</si>
  <si>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</si>
  <si>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</si>
  <si>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</si>
  <si>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</si>
  <si>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</si>
  <si>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</si>
  <si>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</si>
  <si>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</si>
  <si>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</si>
  <si>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</si>
  <si>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</si>
  <si>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</si>
  <si>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</si>
  <si>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</si>
  <si>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</si>
  <si>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</si>
  <si>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</si>
  <si>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</si>
  <si>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</si>
  <si>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</si>
  <si>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</si>
  <si>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</si>
  <si>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</si>
  <si>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</si>
  <si>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</si>
  <si>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</si>
  <si>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</si>
  <si>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</si>
  <si>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</si>
  <si>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</si>
  <si>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</si>
  <si>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</si>
  <si>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</si>
  <si>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</si>
  <si>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</si>
  <si>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</si>
  <si>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</si>
  <si>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</si>
  <si>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</si>
  <si>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</si>
  <si>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</si>
  <si>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</si>
  <si>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</si>
  <si>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</si>
  <si>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</si>
  <si>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</si>
  <si>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</si>
  <si>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</si>
  <si>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</si>
  <si>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</si>
  <si>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</si>
  <si>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</si>
  <si>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</si>
  <si>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</si>
  <si>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</si>
  <si>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</si>
  <si>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</si>
  <si>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</si>
  <si>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</si>
  <si>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</si>
  <si>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</si>
  <si>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</si>
  <si>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</si>
  <si>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</si>
  <si>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</si>
  <si>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</si>
  <si>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</si>
  <si>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</si>
  <si>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</si>
  <si>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</si>
  <si>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</si>
  <si>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</si>
  <si>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</si>
  <si>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</si>
  <si>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</si>
  <si>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</si>
  <si>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</si>
  <si>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</si>
  <si>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</si>
  <si>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</si>
  <si>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</si>
  <si>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</si>
  <si>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</si>
  <si>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</si>
  <si>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</si>
  <si>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</si>
  <si>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</si>
  <si>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</si>
  <si>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</si>
  <si>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</si>
  <si>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</si>
  <si>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</si>
  <si>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</si>
  <si>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</si>
  <si>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</si>
  <si>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</si>
  <si>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</si>
  <si>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</si>
  <si>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</si>
  <si>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</si>
  <si>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</si>
  <si>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</si>
  <si>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</si>
  <si>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</si>
  <si>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</si>
  <si>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</si>
  <si>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</si>
  <si>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</si>
  <si>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</si>
  <si>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</si>
  <si>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</si>
  <si>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</si>
  <si>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</si>
  <si>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</si>
  <si>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</si>
  <si>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</si>
  <si>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</si>
  <si>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</si>
  <si>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</si>
  <si>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</si>
  <si>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</si>
  <si>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</si>
  <si>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</si>
  <si>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</si>
  <si>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</si>
  <si>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</si>
  <si>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</si>
  <si>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</si>
  <si>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</si>
  <si>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</si>
  <si>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</si>
  <si>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</si>
  <si>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</si>
  <si>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</si>
  <si>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</si>
  <si>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</si>
  <si>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</si>
  <si>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</si>
  <si>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</si>
  <si>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</si>
  <si>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</si>
  <si>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</si>
  <si>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</si>
  <si>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</si>
  <si>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</si>
  <si>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</si>
  <si>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</si>
  <si>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</si>
  <si>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</si>
  <si>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</si>
  <si>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</si>
  <si>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</si>
  <si>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</si>
  <si>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</si>
  <si>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</si>
  <si>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</si>
  <si>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</si>
  <si>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</si>
  <si>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</si>
  <si>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</si>
  <si>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</si>
  <si>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</si>
  <si>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</si>
  <si>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</si>
  <si>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</si>
  <si>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</si>
  <si>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</si>
  <si>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</si>
  <si>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</si>
  <si>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</si>
  <si>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</si>
  <si>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</si>
  <si>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</si>
  <si>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</si>
  <si>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</si>
  <si>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</si>
  <si>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</si>
  <si>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</si>
  <si>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</si>
  <si>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</si>
  <si>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</si>
  <si>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</si>
  <si>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</si>
  <si>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</si>
  <si>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</si>
  <si>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</si>
  <si>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</si>
  <si>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</si>
  <si>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</si>
  <si>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</si>
  <si>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</si>
  <si>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</si>
  <si>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</si>
  <si>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</si>
  <si>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</si>
  <si>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</si>
  <si>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</si>
  <si>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</si>
  <si>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</si>
  <si>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</si>
  <si>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</si>
  <si>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</si>
  <si>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</si>
  <si>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</si>
  <si>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</si>
  <si>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</si>
  <si>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</si>
  <si>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</si>
  <si>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</si>
  <si>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</si>
  <si>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</si>
  <si>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</si>
  <si>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</si>
  <si>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</si>
  <si>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</si>
  <si>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</si>
  <si>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</si>
  <si>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</si>
  <si>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</si>
  <si>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</si>
  <si>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</si>
  <si>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</si>
  <si>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</si>
  <si>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</si>
  <si>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</si>
  <si>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</si>
  <si>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</si>
  <si>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</si>
  <si>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</si>
  <si>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</si>
  <si>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</si>
  <si>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</si>
  <si>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</si>
  <si>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</si>
  <si>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</si>
  <si>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</si>
  <si>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</si>
  <si>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</si>
  <si>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</si>
  <si>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</si>
  <si>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</si>
  <si>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</si>
  <si>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</si>
  <si>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</si>
  <si>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</si>
  <si>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</si>
  <si>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</si>
  <si>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</si>
  <si>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</si>
  <si>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</si>
  <si>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</si>
  <si>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</si>
  <si>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</si>
  <si>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</si>
  <si>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</si>
  <si>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</si>
  <si>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</si>
  <si>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</si>
  <si>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</si>
  <si>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</si>
  <si>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</si>
  <si>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</si>
  <si>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</si>
  <si>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</si>
  <si>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</si>
  <si>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</si>
  <si>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</si>
  <si>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</si>
  <si>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</si>
  <si>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</si>
  <si>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</si>
  <si>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</si>
  <si>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</si>
  <si>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</si>
  <si>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</si>
  <si>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</si>
  <si>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</si>
  <si>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</si>
  <si>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</si>
  <si>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</si>
  <si>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</si>
  <si>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</si>
  <si>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</si>
  <si>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</si>
  <si>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</si>
  <si>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</si>
  <si>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</si>
  <si>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</si>
  <si>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</si>
  <si>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</si>
  <si>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</si>
  <si>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</si>
  <si>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</si>
  <si>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</si>
  <si>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</si>
  <si>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</si>
  <si>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</si>
  <si>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</si>
  <si>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</si>
  <si>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</si>
  <si>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</si>
  <si>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</si>
  <si>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</si>
  <si>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</si>
  <si>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</si>
  <si>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</si>
  <si>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</si>
  <si>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</si>
  <si>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</si>
  <si>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</si>
  <si>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</si>
  <si>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</si>
  <si>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</si>
  <si>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</si>
  <si>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</si>
  <si>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</si>
  <si>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</si>
  <si>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</si>
  <si>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</si>
  <si>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</si>
  <si>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</si>
  <si>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</si>
  <si>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</si>
  <si>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</si>
  <si>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</si>
  <si>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</si>
  <si>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</si>
  <si>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</si>
  <si>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</si>
  <si>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</si>
  <si>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</si>
  <si>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</si>
  <si>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</si>
  <si>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</si>
  <si>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</si>
  <si>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</si>
  <si>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</si>
  <si>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</si>
  <si>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</si>
  <si>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</si>
  <si>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</si>
  <si>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</si>
  <si>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</si>
  <si>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</si>
  <si>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</si>
  <si>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</si>
  <si>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</si>
  <si>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</si>
  <si>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</si>
  <si>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</si>
  <si>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</si>
  <si>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</si>
  <si>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</si>
  <si>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</si>
  <si>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</si>
  <si>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</si>
  <si>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</si>
  <si>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</si>
  <si>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</si>
  <si>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</si>
  <si>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</si>
  <si>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</si>
  <si>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</si>
  <si>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</si>
  <si>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</si>
  <si>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</si>
  <si>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</si>
  <si>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</si>
  <si>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</si>
  <si>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</si>
  <si>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</si>
  <si>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</si>
  <si>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</si>
  <si>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</si>
  <si>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</si>
  <si>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</si>
  <si>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</si>
  <si>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</si>
  <si>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</si>
  <si>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</si>
  <si>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</si>
  <si>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</si>
  <si>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</si>
  <si>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</si>
  <si>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</si>
  <si>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</si>
  <si>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</si>
  <si>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</si>
  <si>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</si>
  <si>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</si>
  <si>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</si>
  <si>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</si>
  <si>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</si>
  <si>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</si>
  <si>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</si>
  <si>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</si>
  <si>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</si>
  <si>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</si>
  <si>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</si>
  <si>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</si>
  <si>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</si>
  <si>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</si>
  <si>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</si>
  <si>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</si>
  <si>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</si>
  <si>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</si>
  <si>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</si>
  <si>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</si>
  <si>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</si>
  <si>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</si>
  <si>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</si>
  <si>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</si>
  <si>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</si>
  <si>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</si>
  <si>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</si>
  <si>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</si>
  <si>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</si>
  <si>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</si>
  <si>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</si>
  <si>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</si>
  <si>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</si>
  <si>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</si>
  <si>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</si>
  <si>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</si>
  <si>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</si>
  <si>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</si>
  <si>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</si>
  <si>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</si>
  <si>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</si>
  <si>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</si>
  <si>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</si>
  <si>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</si>
  <si>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</si>
  <si>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</si>
  <si>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</si>
  <si>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</si>
  <si>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</si>
  <si>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</si>
  <si>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</si>
  <si>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</si>
  <si>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</si>
  <si>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</si>
  <si>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</si>
  <si>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</si>
  <si>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</si>
  <si>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</si>
  <si>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</si>
  <si>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</si>
  <si>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</si>
  <si>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</si>
  <si>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</si>
  <si>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</si>
  <si>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</si>
  <si>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</si>
  <si>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</si>
  <si>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</si>
  <si>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</si>
  <si>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</si>
  <si>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</si>
  <si>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</si>
  <si>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</si>
  <si>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</si>
  <si>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</si>
  <si>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</si>
  <si>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</si>
  <si>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</si>
  <si>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</si>
  <si>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</si>
  <si>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</si>
  <si>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</si>
  <si>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</si>
  <si>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</si>
  <si>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</si>
  <si>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</si>
  <si>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</si>
  <si>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</si>
  <si>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</si>
  <si>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</si>
  <si>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</si>
  <si>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</si>
  <si>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</si>
  <si>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</si>
  <si>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</si>
  <si>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</si>
  <si>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</si>
  <si>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</si>
  <si>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</si>
  <si>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</si>
  <si>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</si>
  <si>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</si>
  <si>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</si>
  <si>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</si>
  <si>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</si>
  <si>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</si>
  <si>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</si>
  <si>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</si>
  <si>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</si>
  <si>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</si>
  <si>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</si>
  <si>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</si>
  <si>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</si>
  <si>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</si>
  <si>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</si>
  <si>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</si>
  <si>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</si>
  <si>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</si>
  <si>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</si>
  <si>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</si>
  <si>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</si>
  <si>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</si>
  <si>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</si>
  <si>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</si>
  <si>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</si>
  <si>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</si>
  <si>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</si>
  <si>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</si>
  <si>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</si>
  <si>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</si>
  <si>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</si>
  <si>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</si>
  <si>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</si>
  <si>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</si>
  <si>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</si>
  <si>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</si>
  <si>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</si>
  <si>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</si>
  <si>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</si>
  <si>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</si>
  <si>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</si>
  <si>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</si>
  <si>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</si>
  <si>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</si>
  <si>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</si>
  <si>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</si>
  <si>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</si>
  <si>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</si>
  <si>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</si>
  <si>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</si>
  <si>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</si>
  <si>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</si>
  <si>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</si>
  <si>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</si>
  <si>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</si>
  <si>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</si>
  <si>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</si>
  <si>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</si>
  <si>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</si>
  <si>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</si>
  <si>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</si>
  <si>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</si>
  <si>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</si>
  <si>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</si>
  <si>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</si>
  <si>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</si>
  <si>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</si>
  <si>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</si>
  <si>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</si>
  <si>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</si>
  <si>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</si>
  <si>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</si>
  <si>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</si>
  <si>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</si>
  <si>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</si>
  <si>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</si>
  <si>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</si>
  <si>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</si>
  <si>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</si>
  <si>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</si>
  <si>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</si>
  <si>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</si>
  <si>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</si>
  <si>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</si>
  <si>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</si>
  <si>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</si>
  <si>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</si>
  <si>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</si>
  <si>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</si>
  <si>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</si>
  <si>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</si>
  <si>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</si>
  <si>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</si>
  <si>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</si>
  <si>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</si>
  <si>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</si>
  <si>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</si>
  <si>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</si>
  <si>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</si>
  <si>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</si>
  <si>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</si>
  <si>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</si>
  <si>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</si>
  <si>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</si>
  <si>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</si>
  <si>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</si>
  <si>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</si>
  <si>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</si>
  <si>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</si>
  <si>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</si>
  <si>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</si>
  <si>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</si>
  <si>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</si>
  <si>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</si>
  <si>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</si>
  <si>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</si>
  <si>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</si>
  <si>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</si>
  <si>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</si>
  <si>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</si>
  <si>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</si>
  <si>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</si>
  <si>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</si>
  <si>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</si>
  <si>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</si>
  <si>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</si>
  <si>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</si>
  <si>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</si>
  <si>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</si>
  <si>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</si>
  <si>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</si>
  <si>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</si>
  <si>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</si>
  <si>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</si>
  <si>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</si>
  <si>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</si>
  <si>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</si>
  <si>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</si>
  <si>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</si>
  <si>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</si>
  <si>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</si>
  <si>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</si>
  <si>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</si>
  <si>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</si>
  <si>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</si>
  <si>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</si>
  <si>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</si>
  <si>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</si>
  <si>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</si>
  <si>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</si>
  <si>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</si>
  <si>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</si>
  <si>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</si>
  <si>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</si>
  <si>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</si>
  <si>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</si>
  <si>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</si>
  <si>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</si>
  <si>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</si>
  <si>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</si>
  <si>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</si>
  <si>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</si>
  <si>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</si>
  <si>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</si>
  <si>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</si>
  <si>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</si>
  <si>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</si>
  <si>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</si>
  <si>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</si>
  <si>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</si>
  <si>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</si>
  <si>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</si>
  <si>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</si>
  <si>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</si>
  <si>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</si>
  <si>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</si>
  <si>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</si>
  <si>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</si>
  <si>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</si>
  <si>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</si>
  <si>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</si>
  <si>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</si>
  <si>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</si>
  <si>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</si>
  <si>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</si>
  <si>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</si>
  <si>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</si>
  <si>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</si>
  <si>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</si>
  <si>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</si>
  <si>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</si>
  <si>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</si>
  <si>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</si>
  <si>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</si>
  <si>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</si>
  <si>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</si>
  <si>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</si>
  <si>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</si>
  <si>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</si>
  <si>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</si>
  <si>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</si>
  <si>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</si>
  <si>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</si>
  <si>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</si>
  <si>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</si>
  <si>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</si>
  <si>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</si>
  <si>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</si>
  <si>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</si>
  <si>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</si>
  <si>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</si>
  <si>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</si>
  <si>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</si>
  <si>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</si>
  <si>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</si>
  <si>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</si>
  <si>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</si>
  <si>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</si>
  <si>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</si>
  <si>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</si>
  <si>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</si>
  <si>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</si>
  <si>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</si>
  <si>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</si>
  <si>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</si>
  <si>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</si>
  <si>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</si>
  <si>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</si>
  <si>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</si>
  <si>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</si>
  <si>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</si>
  <si>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</si>
  <si>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</si>
  <si>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</si>
  <si>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</si>
  <si>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</si>
  <si>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</si>
  <si>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</si>
  <si>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</si>
  <si>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</si>
  <si>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</si>
  <si>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</si>
  <si>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</si>
  <si>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</si>
  <si>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</si>
  <si>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</si>
  <si>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</si>
  <si>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</si>
  <si>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</si>
  <si>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</si>
  <si>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</si>
  <si>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</si>
  <si>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</si>
  <si>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</si>
  <si>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</si>
  <si>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</si>
  <si>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</si>
  <si>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</si>
  <si>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</si>
  <si>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</si>
  <si>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</si>
  <si>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</si>
  <si>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</si>
  <si>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</si>
  <si>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</si>
  <si>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</si>
  <si>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</si>
  <si>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</si>
  <si>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</si>
  <si>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</si>
  <si>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</si>
  <si>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</si>
  <si>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</si>
  <si>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</si>
  <si>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</si>
  <si>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</si>
  <si>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</si>
  <si>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</si>
  <si>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</si>
  <si>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</si>
  <si>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</si>
  <si>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</si>
  <si>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</si>
  <si>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</si>
  <si>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</si>
  <si>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</si>
  <si>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</si>
  <si>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</si>
  <si>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</si>
  <si>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</si>
  <si>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</si>
  <si>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</si>
  <si>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</si>
  <si>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</si>
  <si>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</si>
  <si>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</si>
  <si>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</si>
  <si>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</si>
  <si>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</si>
  <si>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</si>
  <si>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</si>
  <si>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</si>
  <si>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</si>
  <si>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</si>
  <si>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</si>
  <si>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</si>
  <si>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</si>
  <si>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</si>
  <si>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</si>
  <si>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</si>
  <si>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</si>
  <si>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</si>
  <si>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</si>
  <si>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</si>
  <si>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</si>
  <si>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</si>
  <si>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</si>
  <si>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</si>
  <si>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</si>
  <si>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</si>
  <si>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</si>
  <si>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</si>
  <si>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</si>
  <si>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</si>
  <si>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</si>
  <si>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</si>
  <si>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</si>
  <si>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</si>
  <si>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</si>
  <si>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</si>
  <si>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</si>
  <si>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</si>
  <si>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</si>
  <si>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</si>
  <si>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</si>
  <si>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</si>
  <si>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</si>
  <si>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</si>
  <si>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</si>
  <si>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</si>
  <si>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</si>
  <si>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</si>
  <si>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</si>
  <si>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</si>
  <si>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</si>
  <si>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</si>
  <si>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</si>
  <si>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</si>
  <si>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</si>
  <si>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</si>
  <si>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</si>
  <si>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</si>
  <si>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</si>
  <si>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</si>
  <si>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</si>
  <si>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</si>
  <si>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</si>
  <si>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</si>
  <si>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</si>
  <si>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</si>
  <si>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</si>
  <si>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</si>
  <si>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</si>
  <si>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</si>
  <si>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</si>
  <si>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</si>
  <si>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</si>
  <si>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</si>
  <si>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</si>
  <si>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</si>
  <si>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</si>
  <si>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</si>
  <si>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</si>
  <si>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</si>
  <si>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</si>
  <si>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</si>
  <si>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</si>
  <si>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</si>
  <si>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</si>
  <si>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</si>
  <si>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</si>
  <si>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</si>
  <si>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</si>
  <si>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</si>
  <si>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</si>
  <si>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</si>
  <si>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</si>
  <si>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</si>
  <si>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</si>
  <si>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</si>
  <si>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</si>
  <si>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</si>
  <si>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</si>
  <si>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</si>
  <si>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</si>
  <si>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</si>
  <si>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</si>
  <si>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</si>
  <si>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</si>
  <si>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</si>
  <si>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</si>
  <si>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</si>
  <si>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</si>
  <si>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</si>
  <si>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</si>
  <si>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</si>
  <si>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</si>
  <si>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</si>
  <si>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</si>
  <si>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</si>
  <si>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</si>
  <si>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</si>
  <si>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</si>
  <si>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</si>
  <si>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</si>
  <si>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</si>
  <si>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</si>
  <si>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</si>
  <si>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</si>
  <si>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</si>
  <si>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</si>
  <si>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</si>
  <si>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</si>
  <si>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</si>
  <si>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</si>
  <si>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</si>
  <si>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</si>
  <si>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</si>
  <si>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</si>
  <si>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</si>
  <si>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</si>
  <si>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</si>
  <si>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</si>
  <si>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</si>
  <si>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</si>
  <si>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</si>
  <si>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</si>
  <si>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</si>
  <si>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</si>
  <si>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</si>
  <si>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</si>
  <si>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</si>
  <si>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</si>
  <si>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</si>
  <si>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</si>
  <si>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</si>
  <si>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</si>
  <si>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</si>
  <si>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</si>
  <si>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</si>
  <si>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</si>
  <si>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</si>
  <si>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</si>
  <si>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</si>
  <si>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</si>
  <si>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</si>
  <si>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</si>
  <si>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</si>
  <si>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</si>
  <si>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</si>
  <si>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</si>
  <si>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</si>
  <si>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</si>
  <si>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</si>
  <si>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</si>
  <si>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</si>
  <si>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</si>
  <si>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</si>
  <si>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</si>
  <si>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</si>
  <si>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</si>
  <si>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</si>
  <si>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</si>
  <si>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</si>
  <si>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</si>
  <si>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</si>
  <si>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</si>
  <si>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</si>
  <si>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</si>
  <si>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</si>
  <si>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</si>
  <si>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</si>
  <si>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</si>
  <si>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</si>
  <si>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</si>
  <si>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</si>
  <si>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</si>
  <si>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</si>
  <si>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</si>
  <si>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</si>
  <si>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</si>
  <si>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</si>
  <si>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</si>
  <si>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</si>
  <si>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</si>
  <si>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</si>
  <si>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</si>
  <si>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</si>
  <si>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</si>
  <si>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</si>
  <si>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</si>
  <si>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</si>
  <si>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</si>
  <si>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</si>
  <si>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</si>
  <si>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</si>
  <si>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</si>
  <si>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</si>
  <si>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</si>
  <si>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</si>
  <si>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</si>
  <si>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</si>
  <si>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</si>
  <si>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</si>
  <si>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</si>
  <si>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</si>
  <si>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</si>
  <si>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</si>
  <si>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</si>
  <si>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</si>
  <si>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</si>
  <si>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</si>
  <si>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</si>
  <si>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</si>
  <si>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</si>
  <si>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</si>
  <si>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</si>
  <si>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</si>
  <si>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</si>
  <si>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</si>
  <si>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</si>
  <si>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</si>
  <si>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</si>
  <si>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</si>
  <si>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</si>
  <si>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</si>
  <si>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</si>
  <si>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</si>
  <si>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</si>
  <si>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</si>
  <si>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</si>
  <si>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</si>
  <si>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</si>
  <si>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</si>
  <si>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</si>
  <si>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</si>
  <si>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</si>
  <si>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</si>
  <si>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</si>
  <si>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</si>
  <si>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</si>
  <si>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</si>
  <si>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</si>
  <si>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</si>
  <si>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</si>
  <si>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</si>
  <si>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</si>
  <si>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</si>
  <si>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</si>
  <si>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</si>
  <si>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</si>
  <si>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</si>
  <si>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</si>
  <si>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</si>
  <si>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</si>
  <si>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</si>
  <si>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</si>
  <si>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</si>
  <si>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</si>
  <si>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</si>
  <si>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</si>
  <si>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</si>
  <si>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</si>
  <si>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</si>
  <si>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</si>
  <si>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</si>
  <si>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</si>
  <si>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</si>
  <si>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</si>
  <si>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</si>
  <si>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</si>
  <si>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</si>
  <si>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</si>
  <si>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</si>
  <si>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</si>
  <si>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</si>
  <si>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</si>
  <si>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</si>
  <si>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</si>
  <si>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</si>
  <si>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</si>
  <si>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</si>
  <si>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</si>
  <si>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</si>
  <si>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</si>
  <si>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</si>
  <si>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</si>
  <si>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</si>
  <si>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</si>
  <si>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</si>
  <si>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</si>
  <si>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</si>
  <si>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</si>
  <si>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</si>
  <si>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</si>
  <si>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</si>
  <si>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</si>
  <si>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</si>
  <si>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</si>
  <si>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</si>
  <si>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</si>
  <si>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</si>
  <si>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</si>
  <si>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</si>
  <si>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</si>
  <si>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</si>
  <si>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</si>
  <si>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</si>
  <si>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</si>
  <si>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</si>
  <si>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</si>
  <si>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</si>
  <si>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</si>
  <si>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</si>
  <si>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</si>
  <si>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</si>
  <si>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</si>
  <si>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</si>
  <si>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</si>
  <si>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</si>
  <si>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</si>
  <si>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</si>
  <si>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</si>
  <si>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</si>
  <si>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</si>
  <si>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</si>
  <si>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</si>
  <si>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</si>
  <si>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</si>
  <si>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</si>
  <si>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</si>
  <si>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</si>
  <si>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</si>
  <si>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</si>
  <si>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</si>
  <si>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</si>
  <si>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</si>
  <si>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</si>
  <si>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</si>
  <si>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</si>
  <si>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</si>
  <si>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</si>
  <si>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</si>
  <si>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</si>
  <si>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</si>
  <si>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</si>
  <si>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</si>
  <si>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</si>
  <si>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</si>
  <si>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</si>
  <si>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</si>
  <si>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</si>
  <si>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</si>
  <si>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</si>
  <si>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</si>
  <si>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</si>
  <si>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</si>
  <si>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</si>
  <si>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</si>
  <si>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</si>
  <si>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</si>
  <si>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</si>
  <si>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</si>
  <si>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</si>
  <si>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</si>
  <si>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</si>
  <si>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</si>
  <si>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</si>
  <si>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</si>
  <si>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</si>
  <si>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</si>
  <si>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</si>
  <si>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</si>
  <si>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</si>
  <si>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</si>
  <si>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</si>
  <si>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</si>
  <si>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</si>
  <si>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</si>
  <si>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</si>
  <si>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</si>
  <si>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</si>
  <si>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</si>
  <si>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</si>
  <si>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</si>
  <si>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</si>
  <si>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</si>
  <si>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</si>
  <si>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</si>
  <si>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</si>
  <si>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</si>
  <si>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</si>
  <si>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</si>
  <si>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</si>
  <si>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</si>
  <si>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</si>
  <si>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</si>
  <si>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</si>
  <si>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</si>
  <si>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</si>
  <si>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</si>
  <si>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</si>
  <si>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</si>
  <si>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</si>
  <si>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</si>
  <si>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</si>
  <si>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</si>
  <si>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</si>
  <si>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</si>
  <si>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</si>
  <si>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</si>
  <si>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</si>
  <si>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</si>
  <si>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</si>
  <si>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</si>
  <si>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</si>
  <si>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</si>
  <si>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</si>
  <si>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</si>
  <si>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</si>
  <si>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</si>
  <si>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</si>
  <si>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</si>
  <si>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</si>
  <si>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</si>
  <si>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</si>
  <si>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</si>
  <si>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</si>
  <si>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</si>
  <si>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</si>
  <si>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</si>
  <si>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</si>
  <si>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</si>
  <si>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</si>
  <si>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</si>
  <si>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</si>
  <si>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</si>
  <si>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</si>
  <si>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</si>
  <si>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</si>
  <si>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</si>
  <si>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</si>
  <si>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</si>
  <si>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</si>
  <si>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</si>
  <si>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</si>
  <si>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</si>
  <si>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</si>
  <si>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</si>
  <si>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</si>
  <si>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</si>
  <si>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</si>
  <si>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</si>
  <si>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</si>
  <si>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</si>
  <si>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</si>
  <si>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</si>
  <si>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</si>
  <si>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</si>
  <si>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</si>
  <si>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</si>
  <si>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</si>
  <si>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</si>
  <si>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</si>
  <si>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</si>
  <si>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</si>
  <si>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</si>
  <si>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</si>
  <si>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</si>
  <si>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</si>
  <si>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</si>
  <si>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</si>
  <si>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</si>
  <si>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</si>
  <si>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</si>
  <si>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</si>
  <si>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</si>
  <si>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</si>
  <si>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</si>
  <si>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</si>
  <si>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</si>
  <si>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</si>
  <si>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</si>
  <si>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</si>
  <si>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</si>
  <si>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</si>
  <si>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</si>
  <si>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</si>
  <si>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</si>
  <si>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</si>
  <si>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</si>
  <si>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</si>
  <si>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</si>
  <si>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</si>
  <si>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</si>
  <si>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</si>
  <si>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</si>
  <si>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</si>
  <si>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</si>
  <si>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</si>
  <si>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</si>
  <si>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</si>
  <si>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</si>
  <si>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</si>
  <si>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</si>
  <si>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</si>
  <si>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</si>
  <si>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</si>
  <si>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</si>
  <si>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</si>
  <si>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</si>
  <si>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</si>
  <si>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</si>
  <si>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</si>
  <si>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</si>
  <si>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</si>
  <si>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</si>
  <si>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</si>
  <si>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</si>
  <si>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</si>
  <si>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</si>
  <si>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</si>
  <si>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</si>
  <si>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</si>
  <si>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</si>
  <si>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</si>
  <si>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</si>
  <si>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</si>
  <si>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</si>
  <si>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</si>
  <si>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</si>
  <si>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</si>
  <si>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</si>
  <si>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</si>
  <si>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</si>
  <si>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</si>
  <si>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</si>
  <si>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</si>
  <si>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</si>
  <si>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</si>
  <si>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</si>
  <si>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</si>
  <si>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</si>
  <si>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</si>
  <si>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</si>
  <si>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</si>
  <si>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</si>
  <si>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</si>
  <si>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</si>
  <si>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</si>
  <si>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</si>
  <si>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</si>
  <si>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</si>
  <si>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</si>
  <si>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</si>
  <si>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</si>
  <si>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</si>
  <si>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</si>
  <si>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</si>
  <si>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</si>
  <si>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</si>
  <si>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</si>
  <si>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</si>
  <si>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</si>
  <si>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</si>
  <si>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</si>
  <si>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</si>
  <si>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</si>
  <si>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</si>
  <si>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</si>
  <si>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</si>
  <si>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</si>
  <si>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</si>
  <si>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</si>
  <si>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</si>
  <si>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</si>
  <si>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</si>
  <si>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</si>
  <si>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</si>
  <si>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</si>
  <si>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</si>
  <si>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</si>
  <si>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</si>
  <si>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</si>
  <si>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</si>
  <si>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</si>
  <si>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</si>
  <si>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</si>
  <si>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</si>
  <si>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</si>
  <si>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</si>
  <si>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</si>
  <si>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</si>
  <si>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</si>
  <si>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</si>
  <si>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</si>
  <si>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</si>
  <si>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</si>
  <si>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</si>
  <si>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</si>
  <si>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</si>
  <si>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</si>
  <si>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</si>
  <si>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</si>
  <si>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</si>
  <si>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</si>
  <si>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</si>
  <si>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</si>
  <si>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</si>
  <si>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</si>
  <si>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</si>
  <si>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</si>
  <si>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</si>
  <si>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</si>
  <si>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</si>
  <si>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</si>
  <si>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</si>
  <si>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</si>
  <si>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</si>
  <si>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</si>
  <si>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</si>
  <si>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</si>
  <si>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</si>
  <si>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</si>
  <si>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</si>
  <si>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</si>
  <si>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</si>
  <si>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</si>
  <si>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</si>
  <si>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</si>
  <si>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</si>
  <si>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</si>
  <si>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</si>
  <si>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</si>
  <si>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</si>
  <si>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</si>
  <si>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</si>
  <si>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</si>
  <si>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</si>
  <si>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</si>
  <si>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</si>
  <si>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</si>
  <si>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</si>
  <si>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</si>
  <si>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</si>
  <si>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</si>
  <si>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</si>
  <si>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</si>
  <si>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</si>
  <si>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</si>
  <si>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</si>
  <si>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</si>
  <si>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</si>
  <si>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</si>
  <si>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</si>
  <si>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</si>
  <si>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</si>
  <si>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</si>
  <si>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</si>
  <si>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</si>
  <si>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</si>
  <si>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</si>
  <si>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</si>
  <si>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</si>
  <si>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</si>
  <si>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</si>
  <si>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</si>
  <si>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</si>
  <si>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</si>
  <si>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</si>
  <si>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</si>
  <si>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</si>
  <si>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</si>
  <si>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</si>
  <si>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</si>
  <si>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</si>
  <si>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</si>
  <si>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</si>
  <si>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</si>
  <si>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</si>
  <si>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</si>
  <si>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</si>
  <si>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</si>
  <si>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</si>
  <si>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</si>
  <si>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</si>
  <si>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</si>
  <si>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</si>
  <si>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</si>
  <si>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</si>
  <si>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</si>
  <si>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</si>
  <si>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</si>
  <si>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</si>
  <si>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</si>
  <si>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</si>
  <si>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</si>
  <si>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</si>
  <si>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</si>
  <si>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</si>
  <si>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</si>
  <si>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</si>
  <si>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</si>
  <si>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</si>
  <si>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</si>
  <si>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</si>
  <si>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</si>
  <si>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</si>
  <si>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</si>
  <si>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</si>
  <si>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</si>
  <si>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</si>
  <si>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</si>
  <si>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</si>
  <si>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</si>
  <si>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</si>
  <si>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</si>
  <si>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</si>
  <si>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</si>
  <si>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</si>
  <si>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</si>
  <si>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</si>
  <si>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</si>
  <si>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</si>
  <si>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</si>
  <si>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</si>
  <si>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</si>
  <si>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</si>
  <si>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</si>
  <si>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</si>
  <si>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</si>
  <si>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</si>
  <si>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</si>
  <si>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</si>
  <si>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</si>
  <si>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</si>
  <si>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</si>
  <si>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</si>
  <si>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</si>
  <si>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</si>
  <si>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</si>
  <si>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</si>
  <si>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</si>
  <si>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</si>
  <si>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</si>
  <si>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</si>
  <si>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</si>
  <si>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</si>
  <si>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</si>
  <si>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</si>
  <si>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</si>
  <si>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</si>
  <si>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</si>
  <si>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</si>
  <si>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</si>
  <si>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</si>
  <si>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</si>
  <si>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</si>
  <si>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</si>
  <si>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</si>
  <si>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</si>
  <si>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</si>
  <si>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</si>
  <si>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</si>
  <si>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</si>
  <si>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</si>
  <si>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</si>
  <si>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</si>
  <si>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</si>
  <si>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</si>
  <si>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</si>
  <si>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</si>
  <si>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</si>
  <si>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</si>
  <si>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</si>
  <si>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</si>
  <si>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</si>
  <si>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</si>
  <si>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</si>
  <si>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</si>
  <si>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</si>
  <si>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</si>
  <si>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</si>
  <si>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</si>
  <si>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</si>
  <si>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</si>
  <si>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</si>
  <si>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</si>
  <si>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</si>
  <si>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</si>
  <si>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</si>
  <si>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</si>
  <si>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</si>
  <si>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</si>
  <si>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</si>
  <si>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</si>
  <si>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</si>
  <si>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</si>
  <si>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</si>
  <si>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</si>
  <si>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</si>
  <si>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</si>
  <si>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</si>
  <si>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</si>
  <si>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</si>
  <si>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</si>
  <si>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</si>
  <si>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</si>
  <si>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</si>
  <si>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</si>
  <si>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</si>
  <si>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</si>
  <si>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</si>
  <si>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</si>
  <si>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</si>
  <si>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</si>
  <si>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</si>
  <si>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</si>
  <si>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</si>
  <si>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</si>
  <si>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</si>
  <si>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</si>
  <si>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</si>
  <si>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</si>
  <si>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</si>
  <si>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</si>
  <si>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</si>
  <si>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</si>
  <si>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</si>
  <si>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</si>
  <si>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</si>
  <si>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</si>
  <si>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</si>
  <si>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</si>
  <si>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</si>
  <si>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</si>
  <si>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</si>
  <si>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</si>
  <si>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</si>
  <si>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</si>
  <si>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</si>
  <si>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</si>
  <si>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</si>
  <si>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</si>
  <si>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</si>
  <si>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</si>
  <si>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</si>
  <si>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</si>
  <si>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</si>
  <si>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</si>
  <si>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</si>
  <si>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</si>
  <si>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</si>
  <si>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</si>
  <si>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</si>
  <si>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</si>
  <si>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</si>
  <si>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</si>
  <si>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</si>
  <si>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</si>
  <si>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</si>
  <si>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</si>
  <si>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</si>
  <si>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</si>
  <si>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</si>
  <si>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</si>
  <si>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</si>
  <si>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</si>
  <si>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</si>
  <si>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</si>
  <si>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</si>
  <si>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</si>
  <si>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</si>
  <si>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</si>
  <si>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</si>
  <si>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</si>
  <si>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</si>
  <si>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</si>
  <si>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</si>
  <si>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</si>
  <si>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</si>
  <si>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</si>
  <si>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</si>
  <si>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</si>
  <si>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</si>
  <si>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</si>
  <si>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</si>
  <si>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</si>
  <si>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</si>
  <si>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</si>
  <si>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</si>
  <si>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</si>
  <si>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</si>
  <si>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</si>
  <si>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</si>
  <si>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</si>
  <si>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</si>
  <si>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</si>
  <si>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</si>
  <si>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</si>
  <si>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</si>
  <si>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</si>
  <si>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</si>
  <si>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</si>
  <si>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</si>
  <si>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</si>
  <si>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</si>
  <si>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</si>
  <si>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</si>
  <si>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</si>
  <si>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</si>
  <si>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</si>
  <si>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</si>
  <si>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</si>
  <si>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</si>
  <si>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</si>
  <si>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</si>
  <si>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</si>
  <si>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</si>
  <si>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</si>
  <si>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</si>
  <si>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</si>
  <si>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</si>
  <si>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</si>
  <si>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</si>
  <si>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</si>
  <si>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</si>
  <si>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</si>
  <si>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</si>
  <si>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</si>
  <si>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</si>
  <si>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</si>
  <si>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</si>
  <si>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</si>
  <si>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</si>
  <si>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</si>
  <si>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</si>
  <si>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</si>
  <si>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</si>
  <si>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</si>
  <si>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</si>
  <si>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</si>
  <si>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</si>
  <si>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</si>
  <si>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</si>
  <si>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</si>
  <si>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</si>
  <si>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</si>
  <si>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</si>
  <si>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</si>
  <si>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</si>
  <si>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</si>
  <si>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</si>
  <si>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</si>
  <si>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</si>
  <si>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</si>
  <si>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</si>
  <si>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</si>
  <si>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</si>
  <si>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</si>
  <si>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</si>
  <si>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</si>
  <si>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</si>
  <si>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</si>
  <si>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</si>
  <si>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</si>
  <si>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</si>
  <si>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</si>
  <si>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</si>
  <si>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</si>
  <si>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</si>
  <si>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</si>
  <si>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</si>
  <si>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</si>
  <si>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</si>
  <si>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</si>
  <si>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</si>
  <si>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</si>
  <si>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</si>
  <si>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</si>
  <si>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</si>
  <si>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</si>
  <si>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</si>
  <si>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</si>
  <si>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</si>
  <si>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</si>
  <si>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</si>
  <si>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</si>
  <si>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</si>
  <si>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</si>
  <si>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</si>
  <si>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</si>
  <si>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</si>
  <si>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</si>
  <si>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</si>
  <si>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</si>
  <si>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</si>
  <si>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</si>
  <si>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</si>
  <si>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</si>
  <si>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</si>
  <si>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</si>
  <si>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</si>
  <si>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</si>
  <si>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</si>
  <si>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</si>
  <si>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</si>
  <si>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</si>
  <si>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</si>
  <si>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</si>
  <si>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</si>
  <si>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</si>
  <si>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</si>
  <si>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</si>
  <si>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</si>
  <si>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</si>
  <si>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</si>
  <si>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</si>
  <si>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</si>
  <si>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</si>
  <si>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</si>
  <si>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</si>
  <si>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</si>
  <si>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</si>
  <si>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</si>
  <si>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</si>
  <si>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</si>
  <si>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</si>
  <si>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</si>
  <si>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</si>
  <si>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</si>
  <si>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</si>
  <si>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</si>
  <si>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</si>
  <si>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</si>
  <si>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</si>
  <si>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</si>
  <si>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</si>
  <si>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</si>
  <si>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</si>
  <si>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</si>
  <si>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</si>
  <si>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</si>
  <si>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</si>
  <si>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</si>
  <si>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</si>
  <si>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</si>
  <si>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</si>
  <si>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</si>
  <si>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</si>
  <si>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</si>
  <si>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</si>
  <si>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</si>
  <si>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</si>
  <si>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</si>
  <si>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</si>
  <si>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</si>
  <si>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</si>
  <si>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</si>
  <si>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</si>
  <si>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</si>
  <si>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</si>
  <si>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</si>
  <si>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</si>
  <si>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</si>
  <si>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</si>
  <si>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</si>
  <si>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</si>
  <si>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</si>
  <si>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</si>
  <si>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</si>
  <si>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</si>
  <si>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</si>
  <si>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</si>
  <si>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</si>
  <si>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</si>
  <si>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</si>
  <si>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</si>
  <si>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</si>
  <si>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</si>
  <si>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</si>
  <si>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</si>
  <si>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</si>
  <si>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</si>
  <si>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</si>
  <si>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</si>
  <si>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</si>
  <si>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</si>
  <si>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</si>
  <si>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</si>
  <si>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</si>
  <si>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</si>
  <si>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</si>
  <si>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</si>
  <si>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</si>
  <si>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</si>
  <si>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</si>
  <si>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</si>
  <si>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</si>
  <si>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</si>
  <si>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</si>
  <si>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</si>
  <si>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</si>
  <si>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</si>
  <si>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</si>
  <si>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</si>
  <si>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</si>
  <si>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</si>
  <si>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</si>
  <si>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</si>
  <si>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</si>
  <si>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</si>
  <si>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</si>
  <si>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</si>
  <si>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</si>
  <si>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</si>
  <si>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</si>
  <si>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</si>
  <si>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</si>
  <si>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</si>
  <si>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</si>
  <si>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</si>
  <si>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</si>
  <si>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</si>
  <si>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</si>
  <si>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</si>
  <si>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</si>
  <si>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</si>
  <si>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</si>
  <si>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</si>
  <si>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</si>
  <si>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</si>
  <si>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</si>
  <si>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</si>
  <si>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</si>
  <si>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</si>
  <si>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</si>
  <si>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</si>
  <si>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</si>
  <si>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</si>
  <si>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</si>
  <si>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</si>
  <si>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</si>
  <si>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</si>
  <si>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</si>
  <si>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</si>
  <si>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</si>
  <si>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</si>
  <si>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</si>
  <si>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</si>
  <si>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</si>
  <si>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</si>
  <si>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</si>
  <si>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</si>
  <si>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</si>
  <si>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</si>
  <si>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</si>
  <si>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</si>
  <si>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</si>
  <si>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</si>
  <si>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</si>
  <si>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</si>
  <si>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</si>
  <si>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</si>
  <si>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</si>
  <si>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</si>
  <si>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</si>
  <si>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</si>
  <si>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</si>
  <si>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</si>
  <si>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</si>
  <si>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</si>
  <si>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</si>
  <si>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</si>
  <si>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</si>
  <si>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</si>
  <si>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</si>
  <si>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</si>
  <si>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</si>
  <si>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</si>
  <si>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</si>
  <si>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</si>
  <si>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</si>
  <si>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</si>
  <si>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</si>
  <si>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</si>
  <si>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</si>
  <si>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</si>
  <si>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</si>
  <si>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</si>
  <si>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</si>
  <si>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</si>
  <si>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</si>
  <si>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</si>
  <si>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</si>
  <si>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</si>
  <si>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</si>
  <si>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</si>
  <si>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</si>
  <si>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</si>
  <si>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</si>
  <si>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</si>
  <si>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</si>
  <si>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</si>
  <si>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</si>
  <si>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</si>
  <si>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</si>
  <si>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</si>
  <si>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</si>
  <si>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</si>
  <si>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</si>
  <si>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</si>
  <si>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</si>
  <si>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</si>
  <si>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</si>
  <si>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</si>
  <si>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</si>
  <si>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</si>
  <si>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</si>
  <si>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</si>
  <si>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</si>
  <si>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</si>
  <si>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</si>
  <si>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</si>
  <si>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</si>
  <si>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</si>
  <si>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</si>
  <si>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</si>
  <si>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</si>
  <si>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</si>
  <si>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</si>
  <si>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</si>
  <si>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</si>
  <si>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</si>
  <si>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</si>
  <si>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</si>
  <si>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</si>
  <si>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</si>
  <si>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</si>
  <si>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</si>
  <si>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</si>
  <si>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</si>
  <si>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</si>
  <si>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</si>
  <si>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</si>
  <si>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</si>
  <si>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</si>
  <si>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</si>
  <si>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</si>
  <si>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</si>
  <si>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</si>
  <si>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</si>
  <si>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</si>
  <si>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</si>
  <si>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</si>
  <si>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</si>
  <si>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</si>
  <si>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</si>
  <si>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</si>
  <si>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</si>
  <si>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</si>
  <si>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</si>
  <si>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</si>
  <si>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</si>
  <si>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</si>
  <si>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</si>
  <si>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</si>
  <si>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</si>
  <si>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</si>
  <si>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</si>
  <si>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</si>
  <si>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</si>
  <si>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</si>
  <si>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</si>
  <si>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</si>
  <si>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</si>
  <si>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</si>
  <si>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</si>
  <si>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</si>
  <si>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</si>
  <si>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</si>
  <si>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</si>
  <si>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</si>
  <si>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</si>
  <si>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</si>
  <si>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</si>
  <si>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</si>
  <si>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</si>
  <si>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</si>
  <si>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</si>
  <si>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</si>
  <si>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</si>
  <si>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</si>
  <si>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</si>
  <si>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</si>
  <si>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</si>
  <si>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</si>
  <si>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</si>
  <si>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</si>
  <si>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</si>
  <si>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</si>
  <si>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</si>
  <si>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</si>
  <si>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</si>
  <si>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</si>
  <si>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</si>
  <si>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</si>
  <si>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</si>
  <si>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</si>
  <si>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</si>
  <si>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</si>
  <si>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</si>
  <si>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</si>
  <si>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</si>
  <si>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</si>
  <si>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</si>
  <si>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</si>
  <si>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</si>
  <si>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</si>
  <si>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</si>
  <si>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</si>
  <si>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</si>
  <si>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</si>
  <si>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</si>
  <si>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</si>
  <si>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</si>
  <si>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</si>
  <si>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</si>
  <si>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</si>
  <si>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</si>
  <si>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</si>
  <si>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</si>
  <si>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</si>
  <si>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</si>
  <si>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</si>
  <si>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</si>
  <si>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</si>
  <si>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</si>
  <si>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</si>
  <si>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</si>
  <si>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</si>
  <si>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</si>
  <si>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</si>
  <si>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</si>
  <si>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</si>
  <si>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</si>
  <si>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</si>
  <si>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</si>
  <si>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</si>
  <si>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</si>
  <si>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</si>
  <si>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</si>
  <si>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</si>
  <si>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</si>
  <si>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</si>
  <si>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</si>
  <si>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</si>
  <si>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</si>
  <si>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</si>
  <si>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</si>
  <si>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</si>
  <si>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</si>
  <si>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</si>
  <si>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</si>
  <si>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</si>
  <si>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</si>
  <si>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</si>
  <si>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</si>
  <si>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</si>
  <si>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</si>
  <si>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</si>
  <si>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</si>
  <si>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</si>
  <si>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</si>
  <si>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</si>
  <si>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</si>
  <si>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</si>
  <si>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</si>
  <si>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</si>
  <si>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</si>
  <si>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</si>
  <si>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</si>
  <si>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</si>
  <si>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</si>
  <si>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</si>
  <si>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</si>
  <si>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</si>
  <si>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</si>
  <si>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</si>
  <si>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</si>
  <si>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</si>
  <si>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</si>
  <si>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</si>
  <si>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</si>
  <si>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</si>
  <si>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</si>
  <si>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</si>
  <si>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</si>
  <si>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</si>
  <si>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</si>
  <si>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</si>
  <si>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</si>
  <si>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</si>
  <si>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</si>
  <si>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</si>
  <si>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</si>
  <si>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</si>
  <si>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</si>
  <si>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</si>
  <si>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</si>
  <si>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</si>
  <si>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</si>
  <si>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</si>
  <si>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</si>
  <si>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</si>
  <si>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</si>
  <si>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</si>
  <si>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</si>
  <si>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</si>
  <si>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</si>
  <si>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</si>
  <si>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</si>
  <si>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</si>
  <si>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</si>
  <si>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</si>
  <si>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</si>
  <si>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</si>
  <si>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</si>
  <si>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</si>
  <si>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</si>
  <si>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</si>
  <si>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</si>
  <si>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</si>
  <si>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</si>
  <si>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</si>
  <si>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</si>
  <si>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</si>
  <si>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</si>
  <si>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</si>
  <si>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</si>
  <si>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</si>
  <si>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</si>
  <si>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</si>
  <si>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</si>
  <si>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</si>
  <si>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</si>
  <si>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</si>
  <si>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</si>
  <si>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</si>
  <si>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</si>
  <si>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</si>
  <si>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</si>
  <si>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</si>
  <si>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</si>
  <si>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</si>
  <si>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</si>
  <si>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</si>
  <si>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</si>
  <si>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</si>
  <si>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</si>
  <si>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</si>
  <si>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</si>
  <si>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</si>
  <si>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</si>
  <si>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</si>
  <si>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</si>
  <si>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</si>
  <si>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</si>
  <si>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</si>
  <si>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</si>
  <si>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</si>
  <si>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</si>
  <si>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</si>
  <si>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</si>
  <si>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</si>
  <si>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</si>
  <si>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</si>
  <si>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</si>
  <si>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</si>
  <si>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</si>
  <si>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</si>
  <si>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</si>
  <si>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</si>
  <si>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</si>
  <si>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</si>
  <si>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</si>
  <si>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</si>
  <si>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</si>
  <si>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</si>
  <si>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</si>
  <si>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</si>
  <si>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</si>
  <si>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</si>
  <si>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</si>
  <si>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</si>
  <si>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</si>
  <si>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</si>
  <si>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</si>
  <si>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</si>
  <si>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</si>
  <si>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</si>
  <si>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</si>
  <si>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</si>
  <si>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</si>
  <si>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</si>
  <si>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</si>
  <si>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</si>
  <si>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</si>
  <si>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</si>
  <si>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</si>
  <si>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</si>
  <si>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</si>
  <si>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</si>
  <si>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</si>
  <si>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</si>
  <si>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</si>
  <si>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</si>
  <si>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</si>
  <si>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</si>
  <si>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</si>
  <si>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</si>
  <si>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</si>
  <si>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</si>
  <si>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</si>
  <si>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</si>
  <si>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</si>
  <si>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</si>
  <si>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</si>
  <si>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</si>
  <si>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</si>
  <si>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</si>
  <si>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</si>
  <si>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</si>
  <si>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</si>
  <si>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</si>
  <si>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</si>
  <si>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</si>
  <si>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</si>
  <si>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</si>
  <si>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</si>
  <si>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</si>
  <si>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</si>
  <si>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</si>
  <si>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</si>
  <si>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</si>
  <si>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</si>
  <si>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</si>
  <si>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</si>
  <si>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</si>
  <si>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</si>
  <si>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</si>
  <si>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</si>
  <si>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</si>
  <si>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</si>
  <si>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</si>
  <si>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</si>
  <si>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</si>
  <si>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</si>
  <si>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</si>
  <si>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</si>
  <si>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</si>
  <si>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</si>
  <si>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</si>
  <si>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</si>
  <si>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</si>
  <si>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</si>
  <si>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</si>
  <si>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</si>
  <si>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</si>
  <si>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</si>
  <si>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</si>
  <si>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</si>
  <si>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</si>
  <si>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</si>
  <si>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</si>
  <si>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</si>
  <si>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</si>
  <si>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</si>
  <si>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</si>
  <si>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</si>
  <si>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</si>
  <si>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</si>
  <si>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</si>
  <si>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</si>
  <si>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</si>
  <si>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</si>
  <si>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</si>
  <si>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</si>
  <si>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</si>
  <si>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</si>
  <si>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</si>
  <si>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</si>
  <si>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</si>
  <si>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</si>
  <si>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</si>
  <si>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</si>
  <si>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</si>
  <si>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</si>
  <si>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</si>
  <si>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</si>
  <si>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</si>
  <si>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</si>
  <si>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</si>
  <si>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</si>
  <si>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</si>
  <si>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</si>
  <si>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</si>
  <si>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</si>
  <si>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</si>
  <si>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</si>
  <si>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</si>
  <si>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</si>
  <si>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</si>
  <si>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</si>
  <si>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</si>
  <si>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</si>
  <si>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</si>
  <si>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</si>
  <si>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</si>
  <si>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</si>
  <si>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</si>
  <si>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</si>
  <si>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</si>
  <si>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</si>
  <si>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</si>
  <si>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</si>
  <si>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</si>
  <si>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</si>
  <si>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</si>
  <si>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</si>
  <si>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</si>
  <si>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</si>
  <si>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</si>
  <si>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</si>
  <si>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</si>
  <si>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</si>
  <si>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</si>
  <si>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</si>
  <si>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</si>
  <si>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</si>
  <si>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</si>
  <si>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</si>
  <si>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</si>
  <si>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</si>
  <si>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</si>
  <si>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</si>
  <si>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</si>
  <si>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</si>
  <si>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</si>
  <si>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</si>
  <si>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</si>
  <si>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</si>
  <si>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</si>
  <si>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</si>
  <si>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</si>
  <si>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</si>
  <si>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</si>
  <si>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</si>
  <si>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</si>
  <si>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</si>
  <si>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</si>
  <si>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</si>
  <si>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</si>
  <si>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</si>
  <si>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</si>
  <si>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</si>
  <si>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</si>
  <si>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</si>
  <si>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</si>
  <si>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</si>
  <si>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</si>
  <si>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</si>
  <si>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</si>
  <si>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</si>
  <si>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</si>
  <si>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</si>
  <si>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</si>
  <si>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</si>
  <si>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</si>
  <si>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</si>
  <si>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</si>
  <si>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</si>
  <si>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</si>
  <si>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</si>
  <si>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</si>
  <si>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</si>
  <si>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</si>
  <si>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</si>
  <si>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</si>
  <si>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</si>
  <si>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</si>
  <si>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</si>
  <si>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</si>
  <si>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</si>
  <si>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</si>
  <si>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</si>
  <si>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</si>
  <si>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</si>
  <si>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</si>
  <si>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</si>
  <si>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</si>
  <si>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</si>
  <si>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</si>
  <si>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</si>
  <si>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</si>
  <si>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</si>
  <si>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</si>
  <si>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</si>
  <si>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</si>
  <si>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</si>
  <si>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</si>
  <si>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</si>
  <si>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</si>
  <si>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</si>
  <si>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</si>
  <si>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</si>
  <si>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</si>
  <si>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</si>
  <si>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</si>
  <si>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</si>
  <si>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</si>
  <si>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</si>
  <si>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</si>
  <si>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</si>
  <si>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</si>
  <si>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</si>
  <si>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</si>
  <si>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</si>
  <si>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</si>
  <si>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</si>
  <si>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</si>
  <si>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</si>
  <si>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</si>
  <si>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</si>
  <si>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</si>
  <si>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</si>
  <si>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</si>
  <si>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</si>
  <si>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</si>
  <si>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</si>
  <si>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</si>
  <si>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</si>
  <si>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</si>
  <si>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</si>
  <si>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</si>
  <si>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</si>
  <si>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</si>
  <si>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</si>
  <si>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</si>
  <si>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</si>
  <si>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</si>
  <si>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</si>
  <si>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</si>
  <si>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</si>
  <si>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</si>
  <si>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</si>
  <si>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</si>
  <si>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</si>
  <si>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</si>
  <si>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</si>
  <si>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</si>
  <si>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</si>
  <si>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</si>
  <si>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</si>
  <si>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</si>
  <si>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</si>
  <si>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</si>
  <si>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</si>
  <si>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</si>
  <si>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</si>
  <si>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</si>
  <si>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</si>
  <si>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</si>
  <si>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</si>
  <si>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</si>
  <si>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</si>
  <si>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</si>
  <si>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</si>
  <si>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</si>
  <si>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</si>
  <si>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</si>
  <si>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</si>
  <si>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</si>
  <si>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</si>
  <si>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</si>
  <si>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</si>
  <si>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</si>
  <si>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</si>
  <si>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</si>
  <si>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</si>
  <si>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</si>
  <si>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</si>
  <si>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</si>
  <si>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</si>
  <si>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</si>
  <si>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</si>
  <si>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</si>
  <si>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</si>
  <si>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</si>
  <si>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</si>
  <si>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</si>
  <si>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</si>
  <si>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</si>
  <si>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</si>
  <si>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</si>
  <si>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</si>
  <si>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</si>
  <si>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</si>
  <si>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</si>
  <si>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</si>
  <si>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</si>
  <si>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</si>
  <si>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</si>
  <si>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</si>
  <si>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</si>
  <si>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</si>
  <si>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</si>
  <si>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</si>
  <si>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</si>
  <si>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</si>
  <si>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</si>
  <si>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</si>
  <si>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</si>
  <si>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</si>
  <si>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</si>
  <si>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</si>
  <si>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</si>
  <si>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</si>
  <si>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</si>
  <si>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</si>
  <si>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</si>
  <si>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</si>
  <si>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</si>
  <si>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</si>
  <si>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</si>
  <si>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</si>
  <si>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</si>
  <si>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</si>
  <si>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</si>
  <si>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</si>
  <si>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</si>
  <si>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</si>
  <si>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</si>
  <si>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</si>
  <si>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</si>
  <si>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</si>
  <si>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</si>
  <si>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</si>
  <si>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</si>
  <si>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</si>
  <si>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</si>
  <si>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</si>
  <si>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</si>
  <si>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</si>
  <si>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</si>
  <si>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</si>
  <si>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</si>
  <si>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</si>
  <si>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</si>
  <si>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</si>
  <si>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</si>
  <si>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</si>
  <si>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</si>
  <si>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</si>
  <si>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</si>
  <si>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</si>
  <si>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</si>
  <si>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</si>
  <si>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</si>
  <si>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</si>
  <si>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</si>
  <si>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</si>
  <si>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</si>
  <si>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</si>
  <si>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</si>
  <si>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</si>
  <si>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</si>
  <si>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</si>
  <si>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</si>
  <si>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</si>
  <si>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</si>
  <si>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</si>
  <si>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</si>
  <si>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</si>
  <si>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</si>
  <si>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</si>
  <si>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</si>
  <si>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</si>
  <si>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</si>
  <si>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</si>
  <si>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</si>
  <si>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</si>
  <si>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</si>
  <si>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</si>
  <si>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</si>
  <si>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</si>
  <si>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</si>
  <si>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</si>
  <si>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</si>
  <si>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</si>
  <si>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</si>
  <si>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</si>
  <si>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</si>
  <si>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</si>
  <si>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</si>
  <si>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</si>
  <si>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</si>
  <si>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</si>
  <si>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</si>
  <si>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</si>
  <si>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</si>
  <si>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</si>
  <si>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</si>
  <si>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</si>
  <si>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</si>
  <si>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</si>
  <si>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</si>
  <si>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</si>
  <si>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</si>
  <si>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</si>
  <si>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</si>
  <si>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</si>
  <si>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</si>
  <si>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</si>
  <si>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</si>
  <si>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</si>
  <si>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</si>
  <si>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</si>
  <si>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</si>
  <si>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</si>
  <si>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</si>
  <si>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</si>
  <si>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</si>
  <si>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</si>
  <si>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</si>
  <si>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</si>
  <si>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</si>
  <si>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</si>
  <si>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</si>
  <si>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</si>
  <si>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</si>
  <si>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</si>
  <si>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</si>
  <si>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</si>
  <si>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</si>
  <si>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</si>
  <si>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</si>
  <si>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</si>
  <si>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</si>
  <si>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</si>
  <si>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</si>
  <si>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</si>
  <si>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</si>
  <si>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</si>
  <si>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</si>
  <si>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</si>
  <si>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</si>
  <si>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</si>
  <si>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</si>
  <si>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</si>
  <si>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</si>
  <si>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</si>
  <si>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</si>
  <si>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</si>
  <si>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</si>
  <si>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</si>
  <si>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</si>
  <si>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</si>
  <si>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</si>
  <si>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</si>
  <si>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</si>
  <si>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</si>
  <si>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</si>
  <si>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</si>
  <si>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</si>
  <si>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</si>
  <si>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</si>
  <si>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</si>
  <si>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</si>
  <si>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</si>
  <si>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</si>
  <si>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</si>
  <si>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</si>
  <si>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</si>
  <si>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</si>
  <si>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</si>
  <si>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</si>
  <si>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</si>
  <si>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</si>
  <si>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</si>
  <si>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</si>
  <si>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</si>
  <si>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</si>
  <si>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</si>
  <si>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</si>
  <si>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</si>
  <si>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</si>
  <si>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</si>
  <si>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</si>
  <si>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</si>
  <si>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</si>
  <si>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</si>
  <si>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</si>
  <si>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</si>
  <si>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</si>
  <si>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</si>
  <si>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</si>
  <si>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</si>
  <si>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</si>
  <si>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</si>
  <si>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</si>
  <si>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</si>
  <si>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</si>
  <si>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</si>
  <si>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</si>
  <si>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</si>
  <si>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</si>
  <si>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</si>
  <si>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</si>
  <si>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</si>
  <si>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</si>
  <si>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</si>
  <si>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</si>
  <si>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</si>
  <si>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</si>
  <si>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</si>
  <si>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</si>
  <si>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</si>
  <si>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</si>
  <si>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</si>
  <si>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</si>
  <si>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</si>
  <si>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</si>
  <si>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</si>
  <si>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</si>
  <si>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</si>
  <si>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</si>
  <si>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</si>
  <si>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</si>
  <si>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</si>
  <si>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</si>
  <si>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</si>
  <si>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</si>
  <si>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</si>
  <si>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</si>
  <si>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</si>
  <si>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</si>
  <si>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</si>
  <si>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</si>
  <si>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</si>
  <si>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</si>
  <si>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</si>
  <si>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</si>
  <si>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</si>
  <si>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</si>
  <si>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</si>
  <si>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</si>
  <si>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</si>
  <si>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</si>
  <si>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</si>
  <si>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</si>
  <si>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</si>
  <si>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</si>
  <si>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</si>
  <si>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</si>
  <si>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</si>
  <si>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</si>
  <si>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</si>
  <si>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</si>
  <si>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</si>
  <si>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</si>
  <si>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</si>
  <si>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</si>
  <si>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</si>
  <si>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</si>
  <si>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</si>
  <si>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</si>
  <si>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</si>
  <si>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</si>
  <si>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</si>
  <si>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</si>
  <si>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</si>
  <si>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</si>
  <si>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</si>
  <si>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</si>
  <si>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</si>
  <si>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</si>
  <si>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</si>
  <si>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</si>
  <si>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</si>
  <si>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</si>
  <si>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</si>
  <si>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</si>
  <si>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</si>
  <si>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</si>
  <si>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</si>
  <si>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</si>
  <si>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</si>
  <si>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</si>
  <si>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</si>
  <si>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</si>
  <si>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</si>
  <si>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</si>
  <si>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</si>
  <si>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</si>
  <si>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</si>
  <si>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</si>
  <si>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</si>
  <si>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</si>
  <si>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</si>
  <si>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</si>
  <si>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</si>
  <si>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</si>
  <si>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</si>
  <si>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</si>
  <si>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</si>
  <si>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</si>
  <si>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</si>
  <si>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</si>
  <si>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</si>
  <si>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</si>
  <si>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</si>
  <si>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</si>
  <si>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</si>
  <si>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</si>
  <si>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</si>
  <si>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</si>
  <si>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</si>
  <si>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</si>
  <si>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</si>
  <si>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</si>
  <si>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</si>
  <si>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</si>
  <si>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</si>
  <si>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</si>
  <si>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</si>
  <si>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</si>
  <si>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</si>
  <si>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</si>
  <si>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</si>
  <si>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</si>
  <si>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</si>
  <si>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</si>
  <si>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</si>
  <si>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</si>
  <si>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</si>
  <si>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</si>
  <si>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</si>
  <si>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</si>
  <si>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</si>
  <si>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</si>
  <si>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</si>
  <si>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</si>
  <si>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</si>
  <si>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</si>
  <si>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</si>
  <si>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</si>
  <si>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</si>
  <si>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</si>
  <si>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</si>
  <si>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</si>
  <si>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</si>
  <si>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</si>
  <si>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</si>
  <si>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</si>
  <si>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</si>
  <si>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</si>
  <si>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</si>
  <si>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</si>
  <si>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</si>
  <si>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</si>
  <si>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</si>
  <si>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</si>
  <si>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</si>
  <si>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</si>
  <si>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</si>
  <si>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</si>
  <si>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</si>
  <si>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</si>
  <si>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</si>
  <si>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</si>
  <si>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</si>
  <si>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</si>
  <si>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</si>
  <si>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</si>
  <si>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</si>
  <si>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</si>
  <si>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</si>
  <si>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</si>
  <si>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</si>
  <si>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</si>
  <si>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</si>
  <si>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</si>
  <si>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</si>
  <si>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</si>
  <si>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</si>
  <si>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</si>
  <si>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</si>
  <si>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</si>
  <si>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</si>
  <si>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</si>
  <si>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</si>
  <si>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</si>
  <si>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</si>
  <si>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</si>
  <si>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</si>
  <si>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</si>
  <si>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</si>
  <si>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</si>
  <si>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</si>
  <si>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</si>
  <si>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</si>
  <si>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</si>
  <si>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</si>
  <si>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</si>
  <si>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</si>
  <si>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</si>
  <si>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</si>
  <si>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</si>
  <si>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</si>
  <si>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</si>
  <si>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</si>
  <si>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</si>
  <si>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</si>
  <si>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</si>
  <si>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</si>
  <si>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</si>
  <si>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</si>
  <si>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</si>
  <si>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</si>
  <si>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</si>
  <si>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</si>
  <si>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</si>
  <si>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</si>
  <si>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</si>
  <si>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</si>
  <si>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</si>
  <si>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</si>
  <si>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</si>
  <si>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</si>
  <si>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</si>
  <si>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</si>
  <si>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</si>
  <si>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</si>
  <si>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</si>
  <si>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</si>
  <si>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</si>
  <si>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</si>
  <si>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</si>
  <si>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</si>
  <si>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</si>
  <si>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</si>
  <si>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</si>
  <si>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</si>
  <si>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</si>
  <si>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</si>
  <si>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</si>
  <si>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</si>
  <si>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</si>
  <si>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</si>
  <si>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</si>
  <si>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</si>
  <si>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</si>
  <si>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</si>
  <si>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</si>
  <si>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</si>
  <si>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</si>
  <si>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</si>
  <si>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</si>
  <si>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</si>
  <si>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</si>
  <si>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</si>
  <si>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</si>
  <si>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</si>
  <si>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</si>
  <si>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</si>
  <si>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</si>
  <si>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</si>
  <si>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</si>
  <si>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</si>
  <si>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</si>
  <si>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</si>
  <si>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</si>
  <si>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</si>
  <si>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</si>
  <si>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</si>
  <si>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</si>
  <si>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</si>
  <si>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</si>
  <si>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</si>
  <si>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</si>
  <si>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</si>
  <si>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</si>
  <si>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</si>
  <si>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</si>
  <si>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</si>
  <si>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</si>
  <si>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</si>
  <si>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</si>
  <si>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</si>
  <si>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</si>
  <si>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</si>
  <si>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</si>
  <si>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</si>
  <si>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</si>
  <si>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</si>
  <si>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</si>
  <si>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</si>
  <si>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</si>
  <si>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</si>
  <si>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</si>
  <si>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</si>
  <si>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</si>
  <si>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</si>
  <si>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</si>
  <si>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</si>
  <si>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</si>
  <si>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</si>
  <si>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</si>
  <si>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</si>
  <si>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</si>
  <si>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</si>
  <si>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</si>
  <si>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</si>
  <si>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</si>
  <si>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</si>
  <si>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</si>
  <si>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</si>
  <si>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</si>
  <si>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</si>
  <si>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</si>
  <si>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</si>
  <si>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</si>
  <si>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</si>
  <si>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</si>
  <si>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</si>
  <si>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</si>
  <si>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</si>
  <si>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</si>
  <si>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</si>
  <si>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</si>
  <si>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</si>
  <si>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</si>
  <si>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</si>
  <si>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</si>
  <si>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</si>
  <si>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</si>
  <si>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</si>
  <si>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</si>
  <si>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</si>
  <si>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</si>
  <si>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</si>
  <si>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</si>
  <si>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</si>
  <si>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</si>
  <si>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</si>
  <si>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</si>
  <si>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</si>
  <si>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</si>
  <si>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</si>
  <si>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</si>
  <si>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</si>
  <si>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</si>
  <si>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</si>
  <si>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</si>
  <si>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</si>
  <si>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</si>
  <si>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</si>
  <si>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</si>
  <si>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</si>
  <si>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</si>
  <si>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</si>
  <si>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</si>
  <si>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</si>
  <si>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</si>
  <si>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</si>
  <si>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</si>
  <si>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</si>
  <si>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</si>
  <si>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</si>
  <si>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</si>
  <si>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</si>
  <si>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</si>
  <si>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</si>
  <si>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</si>
  <si>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</si>
  <si>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</si>
  <si>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</si>
  <si>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</si>
  <si>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</si>
  <si>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</si>
  <si>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</si>
  <si>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</si>
  <si>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</si>
  <si>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</si>
  <si>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</si>
  <si>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</si>
  <si>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</si>
  <si>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</si>
  <si>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</si>
  <si>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</si>
  <si>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</si>
  <si>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</si>
  <si>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</si>
  <si>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</si>
  <si>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</si>
  <si>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</si>
  <si>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</si>
  <si>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</si>
  <si>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</si>
  <si>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</si>
  <si>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</si>
  <si>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</si>
  <si>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</si>
  <si>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</si>
  <si>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</si>
  <si>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</si>
  <si>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</si>
  <si>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</si>
  <si>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</si>
  <si>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</si>
  <si>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</si>
  <si>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</si>
  <si>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</si>
  <si>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</si>
  <si>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</si>
  <si>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</si>
  <si>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</si>
  <si>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</si>
  <si>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</si>
  <si>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</si>
  <si>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</si>
  <si>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</si>
  <si>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</si>
  <si>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</si>
  <si>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</si>
  <si>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</si>
  <si>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</si>
  <si>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</si>
  <si>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</si>
  <si>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</si>
  <si>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</si>
  <si>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</si>
  <si>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</si>
  <si>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</si>
  <si>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</si>
  <si>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</si>
  <si>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</si>
  <si>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</si>
  <si>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</si>
  <si>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</si>
  <si>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</si>
  <si>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</si>
  <si>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</si>
  <si>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</si>
  <si>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</si>
  <si>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</si>
  <si>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</si>
  <si>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</si>
  <si>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</si>
  <si>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</si>
  <si>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</si>
  <si>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</si>
  <si>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</si>
  <si>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</si>
  <si>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</si>
  <si>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</si>
  <si>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</si>
  <si>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</si>
  <si>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</si>
  <si>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</si>
  <si>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</si>
  <si>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</si>
  <si>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</si>
  <si>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</si>
  <si>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</si>
  <si>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</si>
  <si>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</si>
  <si>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</si>
  <si>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</si>
  <si>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</si>
  <si>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</si>
  <si>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</si>
  <si>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</si>
  <si>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</si>
  <si>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</si>
  <si>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</si>
  <si>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</si>
  <si>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</si>
  <si>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</si>
  <si>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</si>
  <si>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</si>
  <si>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</si>
  <si>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</si>
  <si>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</si>
  <si>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</si>
  <si>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</si>
  <si>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</si>
  <si>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</si>
  <si>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</si>
  <si>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</si>
  <si>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</si>
  <si>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</si>
  <si>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</si>
  <si>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</si>
  <si>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</si>
  <si>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</si>
  <si>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</si>
  <si>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</si>
  <si>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</si>
  <si>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</si>
  <si>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</si>
  <si>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</si>
  <si>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</si>
  <si>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</si>
  <si>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</si>
  <si>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</si>
  <si>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</si>
  <si>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</si>
  <si>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</si>
  <si>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</si>
  <si>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</si>
  <si>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</si>
  <si>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</si>
  <si>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</si>
  <si>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</si>
  <si>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</si>
  <si>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</si>
  <si>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</si>
  <si>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</si>
  <si>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</si>
  <si>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</si>
  <si>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</si>
  <si>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</si>
  <si>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</si>
  <si>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</si>
  <si>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</si>
  <si>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</si>
  <si>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</si>
  <si>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</si>
  <si>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</si>
  <si>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</si>
  <si>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</si>
  <si>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</si>
  <si>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</si>
  <si>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</si>
  <si>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</si>
  <si>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</si>
  <si>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</si>
  <si>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</si>
  <si>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</si>
  <si>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</si>
  <si>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</si>
  <si>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</si>
  <si>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</si>
  <si>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</si>
  <si>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</si>
  <si>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</si>
  <si>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</si>
  <si>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</si>
  <si>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</si>
  <si>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</si>
  <si>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</si>
  <si>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</si>
  <si>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</si>
  <si>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</si>
  <si>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</si>
  <si>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</si>
  <si>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</si>
  <si>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</si>
  <si>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</si>
  <si>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</si>
  <si>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</si>
  <si>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</si>
  <si>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</si>
  <si>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</si>
  <si>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</si>
  <si>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</si>
  <si>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</si>
  <si>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</si>
  <si>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</si>
  <si>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</si>
  <si>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</si>
  <si>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</si>
  <si>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</si>
  <si>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</si>
  <si>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</si>
  <si>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</si>
  <si>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</si>
  <si>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</si>
  <si>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</si>
  <si>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</si>
  <si>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</si>
  <si>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</si>
  <si>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</si>
  <si>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</si>
  <si>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</si>
  <si>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</si>
  <si>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</si>
  <si>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</si>
  <si>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</si>
  <si>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</si>
  <si>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</si>
  <si>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</si>
  <si>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</si>
  <si>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</si>
  <si>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</si>
  <si>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</si>
  <si>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</si>
  <si>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</si>
  <si>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</si>
  <si>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</si>
  <si>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</si>
  <si>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</si>
  <si>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</si>
  <si>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</si>
  <si>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</si>
  <si>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</si>
  <si>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</si>
  <si>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</si>
  <si>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</si>
  <si>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</si>
  <si>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</si>
  <si>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</si>
  <si>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</si>
  <si>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</si>
  <si>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</si>
  <si>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</si>
  <si>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</si>
  <si>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</si>
  <si>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</si>
  <si>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</si>
  <si>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</si>
  <si>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</si>
  <si>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</si>
  <si>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</si>
  <si>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</si>
  <si>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</si>
  <si>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</si>
  <si>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</si>
  <si>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</si>
  <si>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</si>
  <si>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</si>
  <si>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</si>
  <si>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</si>
  <si>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</si>
  <si>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</si>
  <si>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</si>
  <si>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</si>
  <si>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</si>
  <si>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</si>
  <si>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</si>
  <si>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</si>
  <si>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</si>
  <si>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</si>
  <si>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</si>
  <si>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</si>
  <si>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</si>
  <si>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</si>
  <si>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</si>
  <si>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</si>
  <si>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</si>
  <si>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</si>
  <si>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</si>
  <si>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</si>
  <si>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</si>
  <si>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</si>
  <si>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</si>
  <si>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</si>
  <si>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</si>
  <si>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</si>
  <si>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</si>
  <si>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</si>
  <si>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</si>
  <si>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</si>
  <si>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</si>
  <si>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</si>
  <si>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</si>
  <si>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</si>
  <si>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</si>
  <si>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</si>
  <si>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</si>
  <si>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</si>
  <si>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</si>
  <si>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</si>
  <si>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</si>
  <si>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</si>
  <si>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</si>
  <si>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</si>
  <si>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</si>
  <si>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</si>
  <si>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</si>
  <si>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</si>
  <si>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</si>
  <si>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</si>
  <si>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</si>
  <si>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</si>
  <si>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</si>
  <si>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</si>
  <si>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</si>
  <si>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</si>
  <si>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</si>
  <si>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</si>
  <si>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</si>
  <si>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</si>
  <si>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</si>
  <si>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</si>
  <si>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</si>
  <si>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</si>
  <si>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</si>
  <si>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</si>
  <si>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</si>
  <si>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</si>
  <si>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</si>
  <si>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</si>
  <si>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</si>
  <si>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</si>
  <si>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</si>
  <si>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</si>
  <si>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</si>
  <si>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</si>
  <si>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</si>
  <si>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</si>
  <si>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</si>
  <si>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</si>
  <si>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</si>
  <si>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</si>
  <si>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</si>
  <si>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</si>
  <si>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</si>
  <si>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</si>
  <si>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</si>
  <si>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</si>
  <si>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</si>
  <si>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</si>
  <si>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</si>
  <si>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</si>
  <si>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</si>
  <si>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</si>
  <si>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</si>
  <si>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</si>
  <si>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</si>
  <si>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</si>
  <si>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</si>
  <si>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</si>
  <si>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</si>
  <si>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</si>
  <si>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</si>
  <si>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</si>
  <si>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</si>
  <si>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</si>
  <si>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</si>
  <si>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</si>
  <si>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</si>
  <si>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</si>
  <si>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</si>
  <si>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</si>
  <si>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</si>
  <si>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</si>
  <si>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</si>
  <si>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</si>
  <si>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</si>
  <si>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</si>
  <si>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</si>
  <si>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</si>
  <si>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</si>
  <si>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</si>
  <si>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</si>
  <si>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</si>
  <si>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</si>
  <si>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</si>
  <si>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</si>
  <si>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</si>
  <si>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</si>
  <si>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</si>
  <si>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</si>
  <si>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</si>
  <si>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</si>
  <si>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</si>
  <si>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</si>
  <si>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</si>
  <si>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</si>
  <si>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</si>
  <si>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</si>
  <si>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</si>
  <si>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</si>
  <si>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</si>
  <si>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</si>
  <si>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</si>
  <si>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</si>
  <si>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</si>
  <si>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</si>
  <si>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</si>
  <si>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</si>
  <si>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</si>
  <si>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</si>
  <si>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</si>
  <si>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</si>
  <si>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</si>
  <si>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</si>
  <si>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</si>
  <si>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</si>
  <si>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</si>
  <si>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</si>
  <si>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</si>
  <si>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</si>
  <si>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</si>
  <si>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</si>
  <si>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</si>
  <si>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</si>
  <si>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</si>
  <si>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</si>
  <si>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</si>
  <si>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</si>
  <si>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</si>
  <si>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</si>
  <si>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</si>
  <si>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</si>
  <si>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</si>
  <si>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</si>
  <si>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</si>
  <si>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</si>
  <si>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</si>
  <si>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</si>
  <si>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</si>
  <si>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</si>
  <si>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</si>
  <si>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</si>
  <si>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</si>
  <si>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</si>
  <si>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</si>
  <si>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</si>
  <si>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</si>
  <si>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</si>
  <si>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</si>
  <si>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</si>
  <si>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</si>
  <si>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</si>
  <si>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</si>
  <si>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</si>
  <si>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</si>
  <si>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</si>
  <si>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</si>
  <si>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</si>
  <si>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</si>
  <si>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</si>
  <si>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</si>
  <si>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</si>
  <si>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</si>
  <si>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</si>
  <si>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</si>
  <si>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</si>
  <si>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</si>
  <si>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</si>
  <si>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</si>
  <si>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</si>
  <si>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</si>
  <si>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</si>
  <si>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</si>
  <si>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</si>
  <si>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</si>
  <si>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</si>
  <si>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</si>
  <si>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</si>
  <si>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</si>
  <si>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</si>
  <si>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</si>
  <si>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</si>
  <si>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</si>
  <si>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</si>
  <si>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</si>
  <si>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</si>
  <si>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</si>
  <si>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</si>
  <si>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</si>
  <si>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</si>
  <si>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</si>
  <si>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</si>
  <si>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</si>
  <si>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</si>
  <si>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</si>
  <si>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</si>
  <si>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</si>
  <si>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</si>
  <si>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</si>
  <si>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</si>
  <si>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</si>
  <si>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</si>
  <si>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</si>
  <si>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</si>
  <si>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</si>
  <si>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</si>
  <si>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</si>
  <si>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</si>
  <si>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</si>
  <si>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</si>
  <si>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</si>
  <si>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</si>
  <si>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</si>
  <si>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</si>
  <si>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</si>
  <si>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</si>
  <si>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</si>
  <si>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</si>
  <si>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</si>
  <si>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</si>
  <si>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</si>
  <si>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</si>
  <si>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</si>
  <si>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</si>
  <si>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</si>
  <si>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</si>
  <si>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</si>
  <si>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</si>
  <si>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</si>
  <si>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</si>
  <si>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</si>
  <si>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</si>
  <si>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</si>
  <si>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</si>
  <si>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</si>
  <si>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</si>
  <si>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</si>
  <si>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</si>
  <si>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</si>
  <si>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</si>
  <si>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</si>
  <si>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</si>
  <si>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</si>
  <si>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</si>
  <si>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</si>
  <si>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</si>
  <si>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</si>
  <si>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</si>
  <si>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</si>
  <si>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</si>
  <si>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</si>
  <si>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</si>
  <si>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</si>
  <si>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</si>
  <si>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</si>
  <si>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</si>
  <si>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</si>
  <si>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</si>
  <si>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</si>
  <si>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</si>
  <si>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</si>
  <si>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</si>
  <si>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</si>
  <si>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</si>
  <si>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</si>
  <si>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</si>
  <si>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</si>
  <si>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</si>
  <si>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</si>
  <si>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</si>
  <si>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</si>
  <si>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</si>
  <si>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</si>
  <si>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</si>
  <si>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</si>
  <si>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</si>
  <si>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</si>
  <si>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</si>
  <si>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</si>
  <si>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</si>
  <si>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</si>
  <si>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</si>
  <si>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</si>
  <si>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</si>
  <si>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</si>
  <si>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</si>
  <si>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</si>
  <si>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</si>
  <si>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</si>
  <si>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</si>
  <si>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</si>
  <si>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</si>
  <si>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</si>
  <si>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</si>
  <si>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</si>
  <si>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</si>
  <si>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</si>
  <si>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</si>
  <si>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</si>
  <si>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</si>
  <si>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</si>
  <si>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</si>
  <si>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</si>
  <si>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</si>
  <si>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</si>
  <si>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</si>
  <si>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</si>
  <si>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</si>
  <si>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</si>
  <si>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</si>
  <si>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</si>
  <si>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</si>
  <si>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</si>
  <si>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</si>
  <si>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</si>
  <si>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</si>
  <si>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</si>
  <si>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</si>
  <si>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</si>
  <si>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</si>
  <si>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</si>
  <si>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</si>
  <si>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</si>
  <si>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</si>
  <si>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</si>
  <si>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</si>
  <si>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</si>
  <si>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</si>
  <si>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</si>
  <si>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</si>
  <si>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</si>
  <si>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</si>
  <si>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</si>
  <si>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</si>
  <si>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</si>
  <si>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</si>
  <si>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</si>
  <si>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</si>
  <si>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</si>
  <si>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</si>
  <si>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</si>
  <si>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</si>
  <si>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</si>
  <si>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</si>
  <si>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</si>
  <si>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</si>
  <si>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</si>
  <si>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</si>
  <si>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</si>
  <si>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</si>
  <si>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</si>
  <si>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</si>
  <si>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</si>
  <si>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</si>
  <si>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</si>
  <si>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</si>
  <si>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</si>
  <si>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</si>
  <si>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</si>
  <si>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</si>
  <si>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</si>
  <si>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</si>
  <si>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</si>
  <si>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</si>
  <si>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</si>
  <si>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</si>
  <si>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</si>
  <si>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</si>
  <si>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</si>
  <si>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</si>
  <si>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</si>
  <si>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</si>
  <si>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</si>
  <si>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</si>
  <si>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</si>
  <si>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</si>
  <si>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</si>
  <si>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</si>
  <si>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</si>
  <si>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</si>
  <si>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</si>
  <si>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</si>
  <si>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</si>
  <si>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</si>
  <si>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</si>
  <si>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</si>
  <si>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</si>
  <si>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</si>
  <si>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</si>
  <si>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</si>
  <si>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</si>
  <si>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</si>
  <si>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</si>
  <si>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</si>
  <si>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</si>
  <si>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</si>
  <si>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</si>
  <si>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</si>
  <si>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</si>
  <si>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</si>
  <si>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</si>
  <si>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</si>
  <si>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</si>
  <si>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</si>
  <si>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</si>
  <si>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</si>
  <si>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</si>
  <si>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</si>
  <si>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</si>
  <si>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</si>
  <si>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</si>
  <si>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</si>
  <si>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</si>
  <si>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</si>
  <si>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</si>
  <si>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</si>
  <si>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</si>
  <si>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</si>
  <si>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</si>
  <si>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</si>
  <si>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</si>
  <si>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</si>
  <si>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</si>
  <si>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</si>
  <si>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</si>
  <si>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</si>
  <si>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</si>
  <si>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</si>
  <si>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</si>
  <si>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</si>
  <si>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</si>
  <si>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</si>
  <si>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</si>
  <si>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</si>
  <si>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</si>
  <si>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</si>
  <si>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</si>
  <si>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</si>
  <si>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</si>
  <si>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</si>
  <si>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</si>
  <si>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</si>
  <si>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</si>
  <si>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</si>
  <si>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</si>
  <si>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</si>
  <si>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</si>
  <si>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</si>
  <si>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</si>
  <si>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</si>
  <si>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</si>
  <si>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</si>
  <si>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</si>
  <si>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</si>
  <si>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</si>
  <si>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</si>
  <si>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</si>
  <si>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</si>
  <si>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</si>
  <si>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</si>
  <si>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</si>
  <si>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</si>
  <si>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</si>
  <si>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</si>
  <si>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</si>
  <si>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</si>
  <si>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</si>
  <si>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</si>
  <si>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</si>
  <si>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</si>
  <si>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</si>
  <si>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</si>
  <si>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</si>
  <si>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</si>
  <si>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</si>
  <si>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</si>
  <si>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</si>
  <si>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</si>
  <si>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</si>
  <si>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</si>
  <si>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</si>
  <si>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</si>
  <si>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</si>
  <si>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</si>
  <si>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</si>
  <si>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</si>
  <si>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</si>
  <si>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</si>
  <si>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</si>
  <si>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</si>
  <si>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</si>
  <si>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</si>
  <si>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</si>
  <si>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</si>
  <si>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</si>
  <si>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</si>
  <si>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</si>
  <si>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</si>
  <si>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</si>
  <si>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</si>
  <si>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</si>
  <si>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</si>
  <si>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</si>
  <si>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</si>
  <si>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</si>
  <si>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</si>
  <si>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</si>
  <si>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</si>
  <si>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</si>
  <si>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</si>
  <si>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</si>
  <si>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</si>
  <si>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</si>
  <si>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</si>
  <si>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</si>
  <si>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</si>
  <si>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</si>
  <si>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</si>
  <si>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</si>
  <si>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</si>
  <si>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</si>
  <si>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</si>
  <si>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</si>
  <si>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</si>
  <si>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</si>
  <si>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</si>
  <si>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</si>
  <si>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</si>
  <si>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</si>
  <si>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</si>
  <si>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</si>
  <si>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</si>
  <si>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</si>
  <si>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</si>
  <si>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</si>
  <si>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</si>
  <si>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</si>
  <si>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</si>
  <si>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</si>
  <si>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</si>
  <si>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</si>
  <si>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</si>
  <si>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</si>
  <si>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</si>
  <si>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</si>
  <si>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</si>
  <si>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</si>
  <si>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</si>
  <si>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</si>
  <si>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</si>
  <si>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</si>
  <si>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</si>
  <si>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</si>
  <si>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</si>
  <si>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</si>
  <si>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</si>
  <si>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</si>
  <si>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</si>
  <si>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</si>
  <si>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</si>
  <si>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</si>
  <si>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</si>
  <si>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</si>
  <si>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</si>
  <si>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</si>
  <si>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</si>
  <si>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</si>
  <si>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</si>
  <si>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</si>
  <si>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</si>
  <si>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</si>
  <si>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</si>
  <si>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</si>
  <si>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</si>
  <si>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</si>
  <si>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</si>
  <si>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</si>
  <si>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</si>
  <si>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</si>
  <si>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</si>
  <si>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</si>
  <si>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</si>
  <si>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</si>
  <si>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</si>
  <si>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</si>
  <si>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</si>
  <si>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</si>
  <si>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</si>
  <si>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</si>
  <si>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</si>
  <si>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</si>
  <si>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</si>
  <si>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</si>
  <si>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</si>
  <si>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</si>
  <si>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</si>
  <si>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</si>
  <si>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</si>
  <si>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</si>
  <si>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</si>
  <si>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</si>
  <si>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</si>
  <si>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</si>
  <si>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</si>
  <si>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</si>
  <si>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</si>
  <si>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</si>
  <si>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</si>
  <si>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</si>
  <si>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</si>
  <si>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</si>
  <si>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</si>
  <si>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</si>
  <si>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</si>
  <si>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</si>
  <si>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</si>
  <si>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</si>
  <si>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</si>
  <si>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</si>
  <si>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</si>
  <si>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</si>
  <si>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</si>
  <si>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</si>
  <si>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</si>
  <si>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</si>
  <si>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</si>
  <si>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</si>
  <si>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</si>
  <si>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</si>
  <si>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</si>
  <si>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</si>
  <si>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</si>
  <si>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</si>
  <si>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</si>
  <si>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</si>
  <si>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</si>
  <si>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</si>
  <si>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</si>
  <si>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</si>
  <si>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</si>
  <si>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</si>
  <si>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</si>
  <si>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</si>
  <si>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</si>
  <si>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</si>
  <si>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</si>
  <si>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</si>
  <si>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</si>
  <si>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</si>
  <si>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</si>
  <si>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</si>
  <si>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</si>
  <si>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</si>
  <si>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</si>
  <si>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</si>
  <si>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</si>
  <si>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</si>
  <si>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</si>
  <si>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</si>
  <si>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</si>
  <si>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</si>
  <si>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</si>
  <si>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</si>
  <si>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</si>
  <si>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</si>
  <si>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</si>
  <si>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</si>
  <si>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</si>
  <si>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</si>
  <si>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</si>
  <si>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</si>
  <si>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</si>
  <si>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</si>
  <si>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</si>
  <si>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</si>
  <si>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</si>
  <si>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</si>
  <si>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</si>
  <si>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</si>
  <si>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</si>
  <si>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</si>
  <si>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</si>
  <si>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</si>
  <si>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</si>
  <si>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</si>
  <si>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</si>
  <si>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</si>
  <si>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</si>
  <si>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</si>
  <si>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</si>
  <si>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</si>
  <si>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</si>
  <si>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</si>
  <si>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</si>
  <si>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</si>
  <si>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</si>
  <si>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</si>
  <si>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</si>
  <si>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</si>
  <si>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</si>
  <si>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</si>
  <si>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</si>
  <si>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</si>
  <si>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</si>
  <si>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</si>
  <si>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</si>
  <si>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</si>
  <si>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</si>
  <si>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</si>
  <si>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</si>
  <si>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</si>
  <si>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</si>
  <si>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</si>
  <si>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</si>
  <si>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</si>
  <si>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</si>
  <si>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</si>
  <si>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</si>
  <si>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</si>
  <si>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</si>
  <si>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</si>
  <si>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</si>
  <si>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</si>
  <si>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</si>
  <si>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</si>
  <si>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</si>
  <si>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</si>
  <si>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</si>
  <si>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</si>
  <si>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</si>
  <si>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</si>
  <si>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</si>
  <si>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</si>
  <si>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</si>
  <si>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</si>
  <si>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</si>
  <si>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</si>
  <si>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</si>
  <si>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</si>
  <si>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</si>
  <si>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</si>
  <si>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</si>
  <si>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</si>
  <si>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</si>
  <si>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</si>
  <si>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</si>
  <si>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</si>
  <si>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</si>
  <si>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</si>
  <si>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</si>
  <si>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</si>
  <si>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</si>
  <si>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</si>
  <si>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</si>
  <si>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</si>
  <si>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</si>
  <si>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</si>
  <si>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</si>
  <si>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</si>
  <si>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</si>
  <si>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</si>
  <si>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</si>
  <si>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</si>
  <si>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</si>
  <si>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</si>
  <si>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</si>
  <si>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</si>
  <si>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</si>
  <si>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</si>
  <si>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</si>
  <si>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</si>
  <si>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</si>
  <si>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</si>
  <si>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</si>
  <si>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</si>
  <si>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</si>
  <si>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</si>
  <si>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</si>
  <si>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</si>
  <si>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</si>
  <si>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</si>
  <si>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</si>
  <si>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</si>
  <si>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</si>
  <si>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</si>
  <si>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</si>
  <si>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</si>
  <si>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</si>
  <si>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</si>
  <si>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</si>
  <si>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</si>
  <si>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</si>
  <si>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</si>
  <si>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</si>
  <si>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</si>
  <si>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</si>
  <si>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</si>
  <si>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</si>
  <si>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</si>
  <si>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</si>
  <si>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</si>
  <si>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</si>
  <si>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</si>
  <si>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</si>
  <si>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</si>
  <si>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</si>
  <si>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</si>
  <si>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</si>
  <si>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</si>
  <si>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</si>
  <si>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</si>
  <si>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</si>
  <si>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</si>
  <si>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</si>
  <si>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</si>
  <si>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</si>
  <si>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</si>
  <si>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</si>
  <si>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</si>
  <si>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</si>
  <si>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</si>
  <si>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</si>
  <si>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</si>
  <si>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</si>
  <si>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</si>
  <si>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</si>
  <si>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</si>
  <si>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</si>
  <si>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</si>
  <si>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</si>
  <si>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</si>
  <si>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</si>
  <si>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</si>
  <si>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</si>
  <si>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</si>
  <si>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</si>
  <si>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</si>
  <si>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</si>
  <si>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</si>
  <si>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</si>
  <si>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</si>
  <si>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</si>
  <si>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</si>
  <si>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</si>
  <si>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</si>
  <si>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</si>
  <si>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</si>
  <si>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</si>
  <si>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</si>
  <si>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</si>
  <si>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</si>
  <si>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</si>
  <si>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</si>
  <si>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</si>
  <si>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</si>
  <si>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</si>
  <si>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</si>
  <si>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</si>
  <si>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</si>
  <si>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</si>
  <si>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</si>
  <si>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</si>
  <si>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</si>
  <si>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</si>
  <si>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</si>
  <si>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</si>
  <si>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</si>
  <si>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</si>
  <si>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</si>
  <si>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</si>
  <si>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</si>
  <si>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</si>
  <si>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</si>
  <si>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</si>
  <si>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</si>
  <si>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</si>
  <si>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</si>
  <si>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</si>
  <si>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</si>
  <si>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</si>
  <si>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</si>
  <si>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</si>
  <si>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</si>
  <si>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</si>
  <si>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</si>
  <si>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</si>
  <si>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</si>
  <si>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</si>
  <si>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</si>
  <si>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</si>
  <si>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</si>
  <si>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</si>
  <si>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</si>
  <si>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</si>
  <si>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</si>
  <si>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</si>
  <si>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</si>
  <si>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</si>
  <si>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</si>
  <si>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</si>
  <si>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</si>
  <si>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</si>
  <si>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</si>
  <si>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</si>
  <si>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</si>
  <si>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</si>
  <si>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</si>
  <si>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</si>
  <si>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</si>
  <si>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</si>
  <si>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</si>
  <si>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</si>
  <si>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</si>
  <si>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</si>
  <si>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</si>
  <si>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</si>
  <si>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</si>
  <si>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</si>
  <si>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</si>
  <si>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</si>
  <si>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</si>
  <si>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</si>
  <si>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</si>
  <si>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</si>
  <si>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</si>
  <si>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</si>
  <si>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</si>
  <si>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</si>
  <si>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</si>
  <si>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</si>
  <si>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</si>
  <si>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</si>
  <si>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</si>
  <si>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</si>
  <si>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</si>
  <si>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</si>
  <si>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</si>
  <si>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</si>
  <si>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</si>
  <si>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</si>
  <si>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</si>
  <si>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</si>
  <si>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</si>
  <si>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</si>
  <si>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</si>
  <si>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</si>
  <si>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</si>
  <si>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</si>
  <si>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</si>
  <si>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</si>
  <si>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</si>
  <si>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</si>
  <si>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</si>
  <si>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</si>
  <si>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</si>
  <si>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</si>
  <si>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</si>
  <si>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</si>
  <si>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</si>
  <si>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</si>
  <si>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</si>
  <si>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</si>
  <si>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</si>
  <si>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</si>
  <si>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</si>
  <si>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</si>
  <si>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</si>
  <si>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</si>
  <si>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</si>
  <si>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</si>
  <si>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</si>
  <si>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</si>
  <si>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</si>
  <si>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</si>
  <si>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</si>
  <si>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</si>
  <si>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</si>
  <si>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</si>
  <si>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</si>
  <si>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</si>
  <si>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</si>
  <si>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</si>
  <si>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</si>
  <si>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</si>
  <si>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</si>
  <si>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</si>
  <si>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</si>
  <si>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</si>
  <si>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</si>
  <si>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</si>
  <si>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</si>
  <si>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</si>
  <si>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</si>
  <si>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</si>
  <si>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</si>
  <si>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</si>
  <si>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</si>
  <si>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</si>
  <si>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</si>
  <si>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</si>
  <si>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</si>
  <si>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</si>
  <si>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</si>
  <si>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</si>
  <si>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</si>
  <si>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</si>
  <si>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</si>
  <si>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</si>
  <si>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</si>
  <si>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</si>
  <si>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</si>
  <si>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</si>
  <si>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</si>
  <si>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</si>
  <si>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</si>
  <si>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</si>
  <si>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</si>
  <si>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</si>
  <si>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</si>
  <si>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</si>
  <si>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</si>
  <si>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</si>
  <si>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</si>
  <si>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</si>
  <si>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</si>
  <si>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</si>
  <si>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</si>
  <si>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</si>
  <si>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</si>
  <si>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</si>
  <si>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</si>
  <si>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</si>
  <si>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</si>
  <si>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</si>
  <si>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</si>
  <si>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</si>
  <si>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</si>
  <si>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</si>
  <si>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</si>
  <si>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</si>
  <si>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</si>
  <si>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</si>
  <si>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</si>
  <si>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</si>
  <si>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</si>
  <si>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</si>
  <si>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</si>
  <si>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</si>
  <si>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</si>
  <si>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</si>
  <si>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</si>
  <si>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</si>
  <si>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</si>
  <si>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</si>
  <si>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</si>
  <si>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</si>
  <si>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</si>
  <si>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</si>
  <si>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</si>
  <si>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</si>
  <si>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</si>
  <si>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</si>
  <si>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</si>
  <si>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</si>
  <si>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</si>
  <si>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</si>
  <si>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</si>
  <si>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</si>
  <si>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</si>
  <si>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</si>
  <si>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</si>
  <si>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</si>
  <si>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</si>
  <si>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</si>
  <si>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</si>
  <si>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</si>
  <si>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</si>
  <si>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</si>
  <si>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</si>
  <si>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</si>
  <si>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</si>
  <si>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</si>
  <si>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</si>
  <si>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</si>
  <si>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</si>
  <si>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</si>
  <si>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</si>
  <si>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</si>
  <si>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</si>
  <si>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</si>
  <si>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</si>
  <si>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</si>
  <si>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</si>
  <si>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</si>
  <si>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</si>
  <si>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</si>
  <si>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</si>
  <si>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</si>
  <si>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</si>
  <si>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</si>
  <si>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</si>
  <si>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</si>
  <si>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</si>
  <si>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</si>
  <si>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</si>
  <si>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</si>
  <si>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</si>
  <si>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</si>
  <si>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</si>
  <si>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</si>
  <si>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</si>
  <si>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</si>
  <si>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</si>
  <si>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</si>
  <si>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</si>
  <si>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</si>
  <si>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</si>
  <si>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</si>
  <si>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</si>
  <si>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</si>
  <si>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</si>
  <si>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</si>
  <si>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</si>
  <si>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</si>
  <si>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</si>
  <si>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</si>
  <si>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</si>
  <si>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</si>
  <si>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</si>
  <si>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</si>
  <si>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</si>
  <si>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</si>
  <si>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</si>
  <si>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</si>
  <si>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</si>
  <si>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</si>
  <si>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</si>
  <si>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</si>
  <si>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</si>
  <si>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</si>
  <si>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</si>
  <si>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</si>
  <si>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</si>
  <si>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</si>
  <si>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</si>
  <si>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</si>
  <si>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</si>
  <si>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</si>
  <si>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</si>
  <si>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</si>
  <si>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</si>
  <si>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</si>
  <si>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</si>
  <si>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</si>
  <si>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</si>
  <si>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</si>
  <si>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</si>
  <si>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</si>
  <si>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</si>
  <si>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</si>
  <si>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</si>
  <si>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</si>
  <si>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</si>
  <si>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</si>
  <si>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</si>
  <si>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</si>
  <si>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</si>
  <si>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</si>
  <si>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</si>
  <si>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</si>
  <si>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</si>
  <si>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</si>
  <si>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</si>
  <si>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</si>
  <si>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</si>
  <si>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</si>
  <si>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</si>
  <si>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</si>
  <si>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</si>
  <si>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</si>
  <si>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</si>
  <si>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</si>
  <si>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</si>
  <si>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</si>
  <si>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</si>
  <si>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</si>
  <si>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</si>
  <si>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</si>
  <si>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</si>
  <si>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</si>
  <si>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</si>
  <si>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</si>
  <si>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</si>
  <si>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</si>
  <si>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</si>
  <si>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</si>
  <si>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</si>
  <si>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</si>
  <si>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</si>
  <si>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</si>
  <si>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</si>
  <si>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</si>
  <si>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</si>
  <si>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</si>
  <si>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</si>
  <si>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</si>
  <si>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</si>
  <si>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</si>
  <si>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</si>
  <si>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</si>
  <si>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</si>
  <si>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</si>
  <si>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</si>
  <si>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</si>
  <si>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</si>
  <si>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</si>
  <si>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</si>
  <si>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</si>
  <si>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</si>
  <si>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</si>
  <si>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</si>
  <si>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</si>
  <si>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</si>
  <si>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</si>
  <si>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</si>
  <si>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</si>
  <si>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</si>
  <si>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</si>
  <si>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</si>
  <si>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</si>
  <si>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</si>
  <si>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</si>
  <si>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</si>
  <si>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</si>
  <si>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</si>
  <si>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</si>
  <si>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</si>
  <si>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</si>
  <si>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</si>
  <si>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</si>
  <si>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</si>
  <si>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</si>
  <si>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</si>
  <si>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</si>
  <si>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</si>
  <si>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</si>
  <si>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</si>
  <si>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</si>
  <si>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</si>
  <si>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</si>
  <si>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</si>
  <si>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</si>
  <si>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</si>
  <si>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</si>
  <si>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</si>
  <si>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</si>
  <si>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</si>
  <si>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</si>
  <si>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</si>
  <si>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</si>
  <si>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</si>
  <si>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</si>
  <si>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</si>
  <si>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</si>
  <si>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</si>
  <si>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</si>
  <si>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</si>
  <si>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</si>
  <si>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</si>
  <si>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</si>
  <si>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</si>
  <si>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</si>
  <si>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</si>
  <si>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</si>
  <si>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</si>
  <si>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</si>
  <si>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</si>
  <si>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</si>
  <si>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</si>
  <si>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</si>
  <si>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</si>
  <si>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</si>
  <si>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</si>
  <si>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</si>
  <si>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</si>
  <si>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</si>
  <si>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</si>
  <si>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</si>
  <si>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</si>
  <si>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</si>
  <si>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</si>
  <si>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</si>
  <si>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</si>
  <si>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</si>
  <si>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</si>
  <si>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</si>
  <si>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</si>
  <si>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</si>
  <si>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</si>
  <si>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</si>
  <si>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</si>
  <si>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</si>
  <si>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</si>
  <si>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</si>
  <si>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</si>
  <si>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</si>
  <si>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</si>
  <si>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</si>
  <si>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</si>
  <si>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</si>
  <si>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</si>
  <si>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</si>
  <si>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</si>
  <si>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</si>
  <si>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</si>
  <si>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</si>
  <si>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</si>
  <si>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</si>
  <si>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</si>
  <si>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</si>
  <si>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</si>
  <si>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</si>
  <si>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</si>
  <si>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</si>
  <si>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</si>
  <si>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</si>
  <si>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</si>
  <si>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</si>
  <si>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</si>
  <si>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</si>
  <si>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</si>
  <si>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</si>
  <si>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</si>
  <si>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</si>
  <si>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</si>
  <si>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</si>
  <si>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</si>
  <si>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</si>
  <si>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</si>
  <si>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</si>
  <si>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</si>
  <si>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</si>
  <si>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</si>
  <si>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</si>
  <si>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</si>
  <si>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</si>
  <si>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</si>
  <si>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</si>
  <si>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</si>
  <si>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</si>
  <si>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</si>
  <si>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</si>
  <si>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</si>
  <si>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</si>
  <si>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</si>
  <si>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</si>
  <si>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</si>
  <si>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</si>
  <si>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</si>
  <si>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</si>
  <si>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</si>
  <si>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</si>
  <si>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</si>
  <si>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</si>
  <si>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</si>
  <si>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</si>
  <si>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</si>
  <si>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</si>
  <si>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</si>
  <si>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</si>
  <si>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</si>
  <si>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</si>
  <si>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</si>
  <si>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</si>
  <si>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</si>
  <si>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</si>
  <si>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</si>
  <si>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</si>
  <si>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</si>
  <si>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</si>
  <si>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</si>
  <si>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</si>
  <si>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</si>
  <si>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</si>
  <si>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</si>
  <si>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</si>
  <si>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</si>
  <si>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</si>
  <si>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</si>
  <si>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</si>
  <si>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</si>
  <si>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</si>
  <si>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</si>
  <si>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</si>
  <si>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</si>
  <si>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</si>
  <si>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</si>
  <si>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</si>
  <si>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</si>
  <si>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</si>
  <si>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</si>
  <si>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</si>
  <si>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</si>
  <si>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</si>
  <si>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</si>
  <si>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</si>
  <si>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</si>
  <si>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</si>
  <si>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</si>
  <si>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</si>
  <si>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</si>
  <si>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</si>
  <si>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</si>
  <si>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</si>
  <si>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</si>
  <si>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</si>
  <si>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</si>
  <si>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</si>
  <si>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</si>
  <si>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</si>
  <si>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</si>
  <si>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</si>
  <si>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</si>
  <si>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</si>
  <si>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</si>
  <si>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</si>
  <si>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</si>
  <si>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</si>
  <si>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</si>
  <si>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</si>
  <si>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</si>
  <si>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</si>
  <si>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</si>
  <si>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</si>
  <si>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</si>
  <si>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</si>
  <si>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</si>
  <si>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</si>
  <si>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</si>
  <si>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</si>
  <si>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</si>
  <si>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</si>
  <si>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</si>
  <si>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</si>
  <si>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</si>
  <si>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</si>
  <si>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</si>
  <si>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</si>
  <si>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</si>
  <si>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</si>
  <si>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</si>
  <si>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</si>
  <si>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</si>
  <si>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</si>
  <si>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</si>
  <si>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</si>
  <si>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</si>
  <si>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</si>
  <si>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</si>
  <si>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</si>
  <si>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</si>
  <si>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</si>
  <si>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</si>
  <si>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</si>
  <si>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</si>
  <si>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</si>
  <si>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</si>
  <si>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</si>
  <si>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</si>
  <si>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</si>
  <si>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</si>
  <si>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</si>
  <si>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</si>
  <si>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</si>
  <si>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</si>
  <si>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</si>
  <si>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</si>
  <si>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</si>
  <si>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</si>
  <si>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</si>
  <si>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</si>
  <si>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</si>
  <si>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</si>
  <si>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</si>
  <si>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</si>
  <si>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</si>
  <si>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</si>
  <si>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</si>
  <si>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</si>
  <si>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</si>
  <si>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</si>
  <si>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</si>
  <si>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</si>
  <si>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</si>
  <si>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</si>
  <si>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</si>
  <si>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</si>
  <si>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</si>
  <si>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</si>
  <si>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</si>
  <si>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</si>
  <si>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</si>
  <si>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</si>
  <si>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</si>
  <si>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</si>
  <si>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</si>
  <si>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</si>
  <si>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</si>
  <si>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</si>
  <si>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</si>
  <si>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</si>
  <si>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</si>
  <si>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</si>
  <si>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</si>
  <si>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</si>
  <si>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</si>
  <si>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</si>
  <si>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</si>
  <si>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</si>
  <si>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</si>
  <si>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</si>
  <si>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</si>
  <si>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</si>
  <si>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</si>
  <si>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</si>
  <si>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</si>
  <si>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</si>
  <si>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</si>
  <si>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</si>
  <si>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</si>
  <si>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</si>
  <si>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</si>
  <si>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</si>
  <si>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</si>
  <si>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</si>
  <si>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</si>
  <si>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</si>
  <si>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</si>
  <si>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</si>
  <si>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</si>
  <si>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</si>
  <si>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</si>
  <si>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</si>
  <si>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</si>
  <si>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</si>
  <si>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</si>
  <si>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</si>
  <si>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</si>
  <si>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</si>
  <si>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</si>
  <si>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</si>
  <si>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</si>
  <si>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</si>
  <si>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</si>
  <si>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</si>
  <si>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</si>
  <si>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</si>
  <si>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</si>
  <si>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</si>
  <si>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</si>
  <si>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</si>
  <si>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</si>
  <si>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</si>
  <si>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</si>
  <si>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</si>
  <si>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</si>
  <si>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</si>
  <si>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</si>
  <si>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</si>
  <si>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</si>
  <si>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</si>
  <si>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</si>
  <si>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</si>
  <si>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</si>
  <si>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</si>
  <si>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</si>
  <si>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</si>
  <si>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</si>
  <si>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</si>
  <si>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</si>
  <si>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</si>
  <si>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</si>
  <si>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</si>
  <si>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</si>
  <si>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</si>
  <si>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</si>
  <si>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</si>
  <si>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</si>
  <si>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</si>
  <si>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</si>
  <si>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</si>
  <si>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</si>
  <si>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</si>
  <si>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</si>
  <si>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</si>
  <si>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</si>
  <si>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</si>
  <si>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</si>
  <si>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</si>
  <si>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</si>
  <si>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</si>
  <si>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</si>
  <si>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</si>
  <si>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</si>
  <si>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</si>
  <si>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</si>
  <si>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</si>
  <si>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</si>
  <si>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</si>
  <si>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</si>
  <si>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</si>
  <si>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</si>
  <si>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</si>
  <si>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</si>
  <si>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</si>
  <si>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</si>
  <si>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</si>
  <si>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</si>
  <si>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</si>
  <si>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</si>
  <si>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</si>
  <si>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</si>
  <si>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</si>
  <si>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</si>
  <si>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</si>
  <si>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</si>
  <si>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</si>
  <si>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</si>
  <si>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</si>
  <si>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</si>
  <si>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</si>
  <si>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</si>
  <si>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</si>
  <si>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</si>
  <si>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</si>
  <si>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</si>
  <si>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</si>
  <si>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</si>
  <si>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</si>
  <si>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</si>
  <si>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</si>
  <si>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</si>
  <si>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</si>
  <si>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</si>
  <si>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</si>
  <si>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</si>
  <si>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</si>
  <si>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</si>
  <si>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</si>
  <si>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</si>
  <si>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</si>
  <si>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</si>
  <si>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</si>
  <si>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</si>
  <si>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</si>
  <si>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</si>
  <si>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</si>
  <si>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</si>
  <si>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</si>
  <si>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</si>
  <si>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</si>
  <si>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</si>
  <si>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</si>
  <si>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</si>
  <si>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</si>
  <si>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</si>
  <si>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</si>
  <si>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</si>
  <si>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</si>
  <si>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</si>
  <si>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</si>
  <si>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</si>
  <si>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</si>
  <si>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</si>
  <si>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</si>
  <si>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</si>
  <si>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</si>
  <si>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</si>
  <si>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</si>
  <si>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</si>
  <si>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</si>
  <si>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</si>
  <si>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</si>
  <si>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</si>
  <si>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</si>
  <si>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</si>
  <si>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</si>
  <si>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</si>
  <si>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</si>
  <si>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</si>
  <si>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</si>
  <si>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</si>
  <si>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</si>
  <si>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</si>
  <si>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</si>
  <si>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</si>
  <si>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</si>
  <si>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</si>
  <si>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</si>
  <si>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</si>
  <si>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</si>
  <si>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</si>
  <si>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</si>
  <si>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</si>
  <si>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</si>
  <si>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</si>
  <si>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</si>
  <si>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</si>
  <si>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</si>
  <si>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</si>
  <si>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</si>
  <si>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</si>
  <si>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</si>
  <si>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</si>
  <si>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</si>
  <si>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</si>
  <si>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</si>
  <si>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</si>
  <si>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</si>
  <si>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</si>
  <si>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</si>
  <si>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</si>
  <si>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</si>
  <si>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</si>
  <si>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</si>
  <si>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</si>
  <si>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</si>
  <si>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</si>
  <si>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</si>
  <si>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</si>
  <si>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</si>
  <si>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</si>
  <si>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</si>
  <si>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</si>
  <si>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</si>
  <si>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</si>
  <si>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</si>
  <si>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</si>
  <si>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</si>
  <si>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</si>
  <si>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</si>
  <si>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</si>
  <si>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</si>
  <si>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</si>
  <si>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</si>
  <si>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</si>
  <si>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</si>
  <si>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</si>
  <si>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</si>
  <si>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</si>
  <si>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</si>
  <si>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</si>
  <si>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</si>
  <si>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</si>
  <si>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</si>
  <si>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</si>
  <si>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</si>
  <si>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</si>
  <si>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</si>
  <si>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</si>
  <si>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</si>
  <si>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</si>
  <si>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</si>
  <si>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</si>
  <si>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</si>
  <si>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</si>
  <si>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</si>
  <si>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</si>
  <si>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</si>
  <si>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</si>
  <si>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</si>
  <si>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</si>
  <si>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</si>
  <si>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</si>
  <si>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</si>
  <si>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</si>
  <si>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</si>
  <si>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</si>
  <si>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</si>
  <si>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</si>
  <si>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</si>
  <si>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</si>
  <si>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</si>
  <si>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</si>
  <si>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</si>
  <si>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</si>
  <si>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</si>
  <si>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</si>
  <si>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</si>
  <si>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</si>
  <si>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</si>
  <si>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</si>
  <si>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</si>
  <si>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</si>
  <si>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</si>
  <si>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</si>
  <si>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</si>
  <si>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</si>
  <si>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</si>
  <si>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</si>
  <si>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</si>
  <si>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</si>
  <si>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</si>
  <si>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</si>
  <si>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</si>
  <si>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</si>
  <si>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</si>
  <si>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</si>
  <si>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</si>
  <si>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</si>
  <si>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</si>
  <si>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</si>
  <si>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</si>
  <si>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</si>
  <si>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</si>
  <si>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</si>
  <si>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</si>
  <si>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</si>
  <si>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</si>
  <si>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</si>
  <si>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</si>
  <si>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</si>
  <si>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</si>
  <si>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</si>
  <si>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</si>
  <si>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</si>
  <si>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</si>
  <si>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</si>
  <si>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</si>
  <si>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</si>
  <si>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</si>
  <si>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</si>
  <si>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</si>
  <si>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</si>
  <si>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</si>
  <si>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</si>
  <si>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</si>
  <si>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</si>
  <si>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</si>
  <si>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</si>
  <si>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</si>
  <si>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</si>
  <si>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</si>
  <si>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</si>
  <si>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</si>
  <si>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</si>
  <si>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</si>
  <si>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</si>
  <si>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</si>
  <si>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</si>
  <si>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</si>
  <si>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</si>
  <si>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</si>
  <si>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</si>
  <si>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</si>
  <si>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</si>
  <si>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</si>
  <si>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</si>
  <si>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</si>
  <si>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</si>
  <si>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</si>
  <si>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</si>
  <si>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</si>
  <si>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</si>
  <si>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</si>
  <si>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</si>
  <si>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</si>
  <si>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</si>
  <si>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</si>
  <si>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</si>
  <si>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</si>
  <si>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</si>
  <si>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</si>
  <si>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</si>
  <si>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</si>
  <si>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</si>
  <si>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</si>
  <si>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</si>
  <si>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</si>
  <si>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</si>
  <si>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</si>
  <si>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</si>
  <si>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</si>
  <si>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</si>
  <si>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</si>
  <si>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</si>
  <si>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</si>
  <si>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</si>
  <si>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</si>
  <si>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</si>
  <si>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</si>
  <si>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</si>
  <si>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</si>
  <si>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</si>
  <si>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</si>
  <si>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</si>
  <si>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</si>
  <si>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</si>
  <si>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</si>
  <si>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</si>
  <si>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</si>
  <si>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</si>
  <si>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</si>
  <si>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</si>
  <si>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</si>
  <si>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</si>
  <si>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</si>
  <si>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</si>
  <si>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</si>
  <si>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</si>
  <si>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</si>
  <si>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</si>
  <si>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</si>
  <si>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</si>
  <si>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</si>
  <si>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</si>
  <si>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</si>
  <si>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</si>
  <si>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</si>
  <si>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</si>
  <si>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</si>
  <si>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</si>
  <si>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</si>
  <si>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</si>
  <si>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</si>
  <si>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</si>
  <si>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</si>
  <si>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</si>
  <si>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</si>
  <si>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</si>
  <si>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</si>
  <si>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</si>
  <si>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</si>
  <si>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</si>
  <si>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</si>
  <si>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</si>
  <si>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</si>
  <si>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</si>
  <si>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</si>
  <si>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</si>
  <si>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</si>
  <si>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</si>
  <si>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</si>
  <si>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</si>
  <si>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</si>
  <si>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</si>
  <si>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</si>
  <si>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</si>
  <si>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</si>
  <si>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</si>
  <si>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</si>
  <si>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</si>
  <si>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</si>
  <si>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</si>
  <si>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</si>
  <si>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</si>
  <si>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</si>
  <si>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</si>
  <si>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</si>
  <si>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</si>
  <si>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</si>
  <si>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</si>
  <si>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</si>
  <si>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</si>
  <si>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</si>
  <si>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</si>
  <si>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</si>
  <si>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</si>
  <si>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</si>
  <si>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</si>
  <si>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</si>
  <si>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</si>
  <si>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</si>
  <si>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</si>
  <si>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</si>
  <si>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</si>
  <si>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</si>
  <si>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</si>
  <si>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</si>
  <si>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</si>
  <si>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</si>
  <si>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</si>
  <si>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</si>
  <si>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</si>
  <si>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</si>
  <si>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</si>
  <si>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</si>
  <si>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</si>
  <si>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</si>
  <si>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</si>
  <si>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</si>
  <si>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</si>
  <si>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</si>
  <si>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</si>
  <si>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</si>
  <si>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</si>
  <si>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</si>
  <si>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</si>
  <si>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</si>
  <si>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</si>
  <si>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</si>
  <si>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</si>
  <si>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</si>
  <si>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</si>
  <si>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</si>
  <si>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</si>
  <si>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</si>
  <si>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</si>
  <si>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</si>
  <si>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</si>
  <si>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</si>
  <si>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</si>
  <si>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</si>
  <si>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</si>
  <si>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</si>
  <si>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</si>
  <si>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</si>
  <si>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</si>
  <si>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</si>
  <si>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</si>
  <si>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</si>
  <si>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</si>
  <si>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</si>
  <si>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</si>
  <si>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</si>
  <si>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</si>
  <si>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</si>
  <si>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</si>
  <si>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</si>
  <si>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</si>
  <si>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</si>
  <si>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</si>
  <si>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</si>
  <si>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</si>
  <si>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</si>
  <si>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</si>
  <si>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</si>
  <si>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</si>
  <si>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</si>
  <si>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</si>
  <si>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</si>
  <si>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</si>
  <si>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</si>
  <si>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</si>
  <si>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</si>
  <si>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</si>
  <si>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</si>
  <si>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</si>
  <si>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</si>
  <si>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</si>
  <si>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</si>
  <si>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</si>
  <si>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</si>
  <si>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</si>
  <si>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</si>
  <si>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</si>
  <si>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</si>
  <si>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</si>
  <si>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</si>
  <si>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</si>
  <si>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</si>
  <si>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</si>
  <si>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</si>
  <si>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</si>
  <si>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</si>
  <si>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</si>
  <si>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</si>
  <si>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</si>
  <si>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</si>
  <si>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</si>
  <si>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</si>
  <si>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</si>
  <si>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</si>
  <si>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</si>
  <si>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</si>
  <si>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</si>
  <si>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</si>
  <si>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</si>
  <si>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</si>
  <si>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</si>
  <si>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</si>
  <si>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</si>
  <si>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</si>
  <si>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</si>
  <si>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</si>
  <si>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</si>
  <si>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</si>
  <si>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</si>
  <si>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</si>
  <si>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</si>
  <si>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</si>
  <si>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</si>
  <si>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</si>
  <si>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</si>
  <si>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</si>
  <si>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</si>
  <si>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</si>
  <si>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</si>
  <si>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</si>
  <si>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</si>
  <si>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</si>
  <si>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</si>
  <si>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</si>
  <si>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</si>
  <si>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</si>
  <si>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</si>
  <si>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</si>
  <si>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</si>
  <si>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</si>
  <si>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</si>
  <si>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</si>
  <si>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</si>
  <si>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</si>
  <si>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</si>
  <si>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</si>
  <si>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</si>
  <si>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</si>
  <si>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</si>
  <si>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</si>
  <si>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</si>
  <si>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</si>
  <si>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</si>
  <si>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</si>
  <si>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</si>
  <si>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</si>
  <si>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</si>
  <si>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</si>
  <si>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</si>
  <si>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</si>
  <si>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</si>
  <si>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</si>
  <si>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</si>
  <si>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</si>
  <si>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</si>
  <si>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</si>
  <si>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</si>
  <si>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</si>
  <si>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</si>
  <si>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</si>
  <si>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</si>
  <si>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</si>
  <si>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</si>
  <si>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</si>
  <si>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</si>
  <si>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</si>
  <si>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</si>
  <si>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</si>
  <si>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</si>
  <si>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</si>
  <si>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</si>
  <si>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</si>
  <si>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</si>
  <si>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</si>
  <si>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</si>
  <si>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</si>
  <si>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</si>
  <si>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</si>
  <si>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</si>
  <si>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</si>
  <si>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</si>
  <si>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</si>
  <si>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</si>
  <si>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</si>
  <si>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</si>
  <si>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</si>
  <si>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</si>
  <si>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</si>
  <si>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</si>
  <si>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</si>
  <si>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</si>
  <si>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</si>
  <si>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</si>
  <si>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</si>
  <si>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</si>
  <si>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</si>
  <si>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</si>
  <si>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</si>
  <si>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</si>
  <si>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</si>
  <si>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</si>
  <si>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</si>
  <si>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</si>
  <si>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</si>
  <si>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</si>
  <si>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</si>
  <si>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</si>
  <si>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</si>
  <si>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</si>
  <si>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</si>
  <si>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</si>
  <si>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</si>
  <si>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</si>
  <si>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</si>
  <si>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</si>
  <si>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</si>
  <si>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</si>
  <si>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</si>
  <si>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</si>
  <si>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</si>
  <si>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</si>
  <si>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</si>
  <si>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</si>
  <si>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</si>
  <si>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</si>
  <si>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</si>
  <si>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</si>
  <si>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</si>
  <si>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</si>
  <si>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</si>
  <si>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</si>
  <si>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</si>
  <si>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</si>
  <si>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</si>
  <si>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</si>
  <si>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</si>
  <si>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</si>
  <si>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</si>
  <si>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</si>
  <si>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</si>
  <si>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</si>
  <si>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</si>
  <si>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</si>
  <si>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</si>
  <si>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</si>
  <si>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</si>
  <si>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</si>
  <si>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</si>
  <si>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</si>
  <si>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</si>
  <si>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</si>
  <si>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</si>
  <si>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</si>
  <si>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</si>
  <si>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</si>
  <si>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</si>
  <si>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</si>
  <si>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</si>
  <si>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</si>
  <si>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</si>
  <si>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</si>
  <si>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</si>
  <si>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</si>
  <si>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</si>
  <si>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</si>
  <si>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</si>
  <si>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</si>
  <si>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</si>
  <si>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</si>
  <si>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</si>
  <si>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</si>
  <si>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</si>
  <si>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</si>
  <si>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</si>
  <si>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</si>
  <si>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</si>
  <si>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</si>
  <si>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</si>
  <si>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</si>
  <si>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</si>
  <si>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</si>
  <si>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</si>
  <si>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</si>
  <si>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</si>
  <si>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</si>
  <si>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</si>
  <si>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</si>
  <si>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</si>
  <si>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</si>
  <si>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</si>
  <si>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</si>
  <si>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</si>
  <si>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</si>
  <si>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</si>
  <si>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</si>
  <si>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</si>
  <si>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</si>
  <si>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</si>
  <si>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</si>
  <si>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</si>
  <si>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</si>
  <si>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</si>
  <si>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</si>
  <si>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</si>
  <si>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</si>
  <si>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</si>
  <si>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</si>
  <si>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</si>
  <si>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</si>
  <si>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</si>
  <si>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</si>
  <si>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</si>
  <si>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</si>
  <si>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</si>
  <si>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</si>
  <si>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</si>
  <si>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</si>
  <si>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</si>
  <si>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</si>
  <si>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</si>
  <si>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</si>
  <si>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</si>
  <si>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</si>
  <si>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</si>
  <si>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</si>
  <si>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</si>
  <si>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</si>
  <si>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</si>
  <si>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</si>
  <si>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</si>
  <si>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</si>
  <si>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</si>
  <si>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</si>
  <si>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</si>
  <si>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</si>
  <si>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</si>
  <si>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</si>
  <si>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</si>
  <si>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</si>
  <si>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</si>
  <si>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</si>
  <si>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</si>
  <si>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</si>
  <si>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</si>
  <si>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</si>
  <si>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</si>
  <si>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</si>
  <si>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</si>
  <si>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</si>
  <si>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</si>
  <si>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</si>
  <si>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</si>
  <si>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</si>
  <si>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</si>
  <si>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</si>
  <si>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</si>
  <si>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</si>
  <si>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</si>
  <si>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</si>
  <si>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</si>
  <si>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</si>
  <si>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</si>
  <si>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</si>
  <si>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</si>
  <si>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</si>
  <si>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</si>
  <si>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</si>
  <si>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</si>
  <si>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</si>
  <si>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</si>
  <si>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</si>
  <si>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</si>
  <si>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</si>
  <si>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</si>
  <si>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</si>
  <si>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</si>
  <si>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</si>
  <si>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</si>
  <si>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</si>
  <si>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</si>
  <si>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</si>
  <si>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</si>
  <si>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</si>
  <si>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</si>
  <si>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</si>
  <si>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</si>
  <si>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</si>
  <si>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</si>
  <si>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</si>
  <si>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</si>
  <si>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</si>
  <si>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</si>
  <si>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</si>
  <si>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</si>
  <si>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</si>
  <si>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</si>
  <si>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</si>
  <si>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</si>
  <si>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</si>
  <si>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</si>
  <si>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</si>
  <si>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</si>
  <si>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</si>
  <si>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</si>
  <si>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</si>
  <si>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</si>
  <si>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</si>
  <si>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</si>
  <si>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</si>
  <si>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</si>
  <si>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</si>
  <si>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</si>
  <si>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</si>
  <si>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</si>
  <si>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</si>
  <si>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</si>
  <si>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</si>
  <si>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</si>
  <si>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</si>
  <si>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</si>
  <si>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</si>
  <si>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</si>
  <si>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</si>
  <si>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</si>
  <si>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</si>
  <si>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</si>
  <si>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</si>
  <si>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</si>
  <si>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</si>
  <si>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</si>
  <si>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</si>
  <si>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</si>
  <si>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</si>
  <si>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</si>
  <si>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</si>
  <si>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</si>
  <si>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</si>
  <si>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</si>
  <si>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</si>
  <si>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</si>
  <si>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</si>
  <si>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</si>
  <si>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</si>
  <si>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</si>
  <si>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</si>
  <si>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</si>
  <si>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</si>
  <si>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</si>
  <si>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</si>
  <si>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</si>
  <si>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</si>
  <si>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</si>
  <si>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</si>
  <si>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</si>
  <si>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</si>
  <si>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</si>
  <si>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</si>
  <si>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</si>
  <si>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</si>
  <si>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</si>
  <si>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</si>
  <si>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</si>
  <si>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</si>
  <si>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</si>
  <si>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</si>
  <si>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</si>
  <si>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</si>
  <si>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</si>
  <si>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</si>
  <si>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</si>
  <si>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</si>
  <si>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</si>
  <si>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</si>
  <si>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</si>
  <si>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</si>
  <si>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</si>
  <si>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</si>
  <si>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</si>
  <si>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</si>
  <si>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</si>
  <si>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</si>
  <si>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</si>
  <si>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</si>
  <si>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</si>
  <si>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</si>
  <si>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</si>
  <si>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</si>
  <si>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</si>
  <si>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</si>
  <si>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</si>
  <si>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</si>
  <si>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</si>
  <si>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</si>
  <si>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</si>
  <si>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</si>
  <si>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</si>
  <si>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</si>
  <si>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</si>
  <si>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</si>
  <si>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</si>
  <si>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</si>
  <si>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</si>
  <si>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</si>
  <si>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</si>
  <si>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</si>
  <si>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</si>
  <si>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</si>
  <si>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</si>
  <si>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</si>
  <si>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</si>
  <si>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</si>
  <si>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</si>
  <si>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</si>
  <si>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</si>
  <si>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</si>
  <si>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</si>
  <si>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</si>
  <si>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</si>
  <si>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</si>
  <si>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</si>
  <si>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</si>
  <si>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</si>
  <si>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</si>
  <si>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</si>
  <si>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</si>
  <si>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</si>
  <si>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</si>
  <si>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</si>
  <si>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</si>
  <si>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</si>
  <si>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</si>
  <si>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</si>
  <si>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</si>
  <si>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</si>
  <si>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</si>
  <si>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</si>
  <si>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</si>
  <si>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</si>
  <si>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</si>
  <si>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</si>
  <si>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</si>
  <si>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</si>
  <si>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</si>
  <si>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</si>
  <si>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</si>
  <si>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</si>
  <si>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</si>
  <si>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</si>
  <si>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</si>
  <si>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</si>
  <si>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</si>
  <si>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</si>
  <si>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</si>
  <si>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</si>
  <si>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</si>
  <si>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</si>
  <si>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</si>
  <si>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</si>
  <si>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</si>
  <si>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</si>
  <si>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</si>
  <si>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</si>
  <si>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</si>
  <si>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</si>
  <si>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</si>
  <si>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</si>
  <si>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</si>
  <si>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</si>
  <si>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</si>
  <si>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</si>
  <si>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</si>
  <si>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</si>
  <si>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</si>
  <si>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</si>
  <si>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</si>
  <si>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</si>
  <si>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</si>
  <si>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</si>
  <si>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</si>
  <si>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</si>
  <si>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</si>
  <si>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</si>
  <si>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</si>
  <si>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</si>
  <si>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</si>
  <si>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</si>
  <si>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</si>
  <si>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</si>
  <si>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</si>
  <si>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</si>
  <si>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</si>
  <si>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</si>
  <si>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</si>
  <si>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</si>
  <si>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</si>
  <si>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</si>
  <si>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</si>
  <si>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</si>
  <si>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</si>
  <si>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</si>
  <si>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</si>
  <si>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</si>
  <si>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</si>
  <si>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</si>
  <si>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</si>
  <si>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</si>
  <si>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</si>
  <si>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</si>
  <si>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</si>
  <si>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</si>
  <si>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</si>
  <si>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</si>
  <si>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</si>
  <si>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</si>
  <si>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</si>
  <si>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</si>
  <si>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</si>
  <si>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</si>
  <si>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</si>
  <si>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</si>
  <si>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</si>
  <si>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</si>
  <si>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</si>
  <si>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</si>
  <si>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</si>
  <si>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</si>
  <si>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</si>
  <si>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</si>
  <si>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</si>
  <si>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</si>
  <si>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</si>
  <si>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</si>
  <si>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</si>
  <si>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</si>
  <si>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</si>
  <si>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</si>
  <si>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</si>
  <si>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</si>
  <si>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</si>
  <si>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</si>
  <si>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</si>
  <si>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</si>
  <si>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</si>
  <si>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</si>
  <si>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</si>
  <si>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</si>
  <si>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</si>
  <si>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</si>
  <si>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</si>
  <si>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</si>
  <si>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</si>
  <si>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</si>
  <si>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</si>
  <si>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</si>
  <si>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</si>
  <si>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</si>
  <si>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</si>
  <si>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</si>
  <si>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</si>
  <si>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</si>
  <si>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</si>
  <si>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</si>
  <si>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</si>
  <si>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</si>
  <si>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</si>
  <si>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</si>
  <si>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</si>
  <si>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</si>
  <si>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</si>
  <si>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</si>
  <si>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</si>
  <si>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</si>
  <si>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</si>
  <si>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</si>
  <si>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</si>
  <si>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</si>
  <si>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</si>
  <si>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</si>
  <si>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</si>
  <si>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</si>
  <si>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</si>
  <si>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</si>
  <si>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</si>
  <si>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</si>
  <si>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</si>
  <si>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</si>
  <si>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</si>
  <si>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</si>
  <si>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</si>
  <si>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</si>
  <si>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</si>
  <si>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</si>
  <si>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</si>
  <si>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</si>
  <si>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</si>
  <si>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</si>
  <si>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</si>
  <si>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</si>
  <si>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</si>
  <si>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</si>
  <si>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</si>
  <si>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</si>
  <si>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</si>
  <si>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</si>
  <si>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</si>
  <si>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</si>
  <si>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</si>
  <si>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</si>
  <si>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</si>
  <si>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</si>
  <si>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</si>
  <si>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</si>
  <si>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</si>
  <si>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</si>
  <si>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</si>
  <si>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</si>
  <si>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</si>
  <si>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</si>
  <si>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</si>
  <si>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</si>
  <si>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</si>
  <si>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</si>
  <si>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</si>
  <si>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</si>
  <si>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</si>
  <si>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</si>
  <si>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</si>
  <si>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</si>
  <si>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</si>
  <si>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</si>
  <si>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</si>
  <si>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</si>
  <si>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</si>
  <si>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</si>
  <si>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</si>
  <si>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</si>
  <si>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</si>
  <si>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</si>
  <si>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</si>
  <si>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</si>
  <si>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</si>
  <si>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</si>
  <si>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</si>
  <si>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</si>
  <si>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</si>
  <si>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</si>
  <si>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</si>
  <si>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</si>
  <si>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</si>
  <si>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</si>
  <si>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</si>
  <si>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</si>
  <si>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</si>
  <si>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</si>
  <si>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</si>
  <si>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</si>
  <si>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</si>
  <si>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</si>
  <si>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</si>
  <si>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</si>
  <si>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</si>
  <si>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</si>
  <si>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</si>
  <si>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</si>
  <si>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</si>
  <si>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</si>
  <si>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</si>
  <si>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</si>
  <si>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</si>
  <si>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</si>
  <si>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</si>
  <si>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</si>
  <si>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</si>
  <si>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</si>
  <si>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</si>
  <si>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</si>
  <si>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</si>
  <si>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</si>
  <si>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</si>
  <si>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</si>
  <si>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</si>
  <si>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</si>
  <si>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</si>
  <si>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</si>
  <si>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</si>
  <si>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</si>
  <si>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</si>
  <si>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</si>
  <si>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</si>
  <si>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</si>
  <si>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</si>
  <si>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</si>
  <si>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</si>
  <si>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</si>
  <si>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</si>
  <si>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</si>
  <si>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</si>
  <si>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</si>
  <si>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</si>
  <si>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</si>
  <si>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</si>
  <si>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</si>
  <si>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</si>
  <si>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</si>
  <si>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</si>
  <si>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</si>
  <si>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</si>
  <si>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</si>
  <si>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</si>
  <si>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</si>
  <si>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</si>
  <si>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</si>
  <si>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</si>
  <si>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</si>
  <si>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</si>
  <si>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</si>
  <si>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</si>
  <si>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</si>
  <si>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</si>
  <si>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</si>
  <si>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</si>
  <si>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</si>
  <si>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</si>
  <si>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</si>
  <si>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</si>
  <si>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</si>
  <si>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</si>
  <si>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</si>
  <si>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</si>
  <si>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</si>
  <si>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</si>
  <si>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</si>
  <si>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</si>
  <si>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</si>
  <si>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</si>
  <si>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</si>
  <si>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</si>
  <si>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</si>
  <si>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</si>
  <si>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</si>
  <si>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</si>
  <si>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</si>
  <si>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</si>
  <si>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</si>
  <si>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</si>
  <si>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</si>
  <si>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</si>
  <si>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</si>
  <si>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</si>
  <si>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</si>
  <si>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</si>
  <si>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</si>
  <si>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</si>
  <si>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</si>
  <si>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</si>
  <si>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</si>
  <si>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</si>
  <si>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</si>
  <si>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</si>
  <si>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</si>
  <si>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</si>
  <si>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</si>
  <si>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</si>
  <si>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</si>
  <si>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</si>
  <si>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</si>
  <si>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</si>
  <si>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</si>
  <si>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</si>
  <si>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</si>
  <si>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</si>
  <si>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</si>
  <si>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</si>
  <si>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</si>
  <si>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</si>
  <si>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</si>
  <si>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</si>
  <si>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</si>
  <si>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</si>
  <si>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</si>
  <si>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</si>
  <si>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</si>
  <si>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</si>
  <si>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</si>
  <si>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</si>
  <si>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</si>
  <si>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</si>
  <si>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</si>
  <si>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</si>
  <si>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</si>
  <si>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</si>
  <si>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</si>
  <si>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</si>
  <si>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</si>
  <si>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</si>
  <si>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</si>
  <si>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</si>
  <si>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</si>
  <si>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</si>
  <si>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</si>
  <si>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</si>
  <si>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</si>
  <si>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</si>
  <si>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</si>
  <si>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</si>
  <si>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</si>
  <si>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</si>
  <si>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</si>
  <si>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</si>
  <si>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</si>
  <si>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</si>
  <si>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</si>
  <si>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</si>
  <si>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</si>
  <si>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</si>
  <si>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</si>
  <si>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</si>
  <si>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</si>
  <si>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</si>
  <si>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</si>
  <si>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</si>
  <si>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</si>
  <si>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</si>
  <si>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</si>
  <si>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</si>
  <si>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</si>
  <si>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</si>
  <si>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</si>
  <si>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</si>
  <si>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</si>
  <si>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</si>
  <si>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</si>
  <si>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</si>
  <si>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</si>
  <si>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</si>
  <si>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</si>
  <si>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</si>
  <si>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</si>
  <si>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</si>
  <si>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</si>
  <si>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</si>
  <si>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</si>
  <si>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</si>
  <si>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</si>
  <si>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</si>
  <si>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</si>
  <si>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</si>
  <si>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</si>
  <si>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</si>
  <si>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</si>
  <si>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</si>
  <si>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</si>
  <si>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</si>
  <si>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</si>
  <si>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</si>
  <si>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</si>
  <si>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</si>
  <si>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</si>
  <si>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</si>
  <si>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</si>
  <si>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</si>
  <si>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</si>
  <si>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</si>
  <si>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</si>
  <si>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</si>
  <si>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</si>
  <si>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</si>
  <si>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</si>
  <si>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</si>
  <si>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</si>
  <si>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</si>
  <si>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</si>
  <si>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</si>
  <si>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</si>
  <si>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</si>
  <si>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</si>
  <si>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</si>
  <si>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</si>
  <si>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</si>
  <si>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</si>
  <si>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</si>
  <si>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</si>
  <si>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</si>
  <si>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</si>
  <si>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</si>
  <si>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</si>
  <si>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</si>
  <si>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</si>
  <si>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</si>
  <si>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</si>
  <si>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</si>
  <si>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</si>
  <si>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</si>
  <si>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</si>
  <si>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</si>
  <si>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</si>
  <si>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</si>
  <si>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</si>
  <si>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</si>
  <si>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</si>
  <si>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</si>
  <si>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</si>
  <si>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</si>
  <si>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</si>
  <si>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</si>
  <si>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</si>
  <si>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</si>
  <si>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</si>
  <si>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</si>
  <si>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</si>
  <si>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</si>
  <si>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</si>
  <si>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</si>
  <si>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</si>
  <si>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</si>
  <si>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</si>
  <si>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</si>
  <si>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</si>
  <si>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</si>
  <si>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</si>
  <si>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</si>
  <si>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</si>
  <si>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</si>
  <si>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</si>
  <si>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</si>
  <si>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</si>
  <si>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</si>
  <si>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</si>
  <si>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</si>
  <si>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</si>
  <si>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</si>
  <si>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</si>
  <si>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</si>
  <si>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</si>
  <si>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</si>
  <si>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</si>
  <si>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</si>
  <si>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</si>
  <si>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</si>
  <si>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</si>
  <si>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</si>
  <si>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</si>
  <si>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</si>
  <si>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</si>
  <si>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</si>
  <si>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</si>
  <si>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</si>
  <si>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</si>
  <si>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</si>
  <si>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</si>
  <si>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</si>
  <si>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</si>
  <si>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</si>
  <si>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</si>
  <si>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</si>
  <si>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</si>
  <si>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</si>
  <si>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</si>
  <si>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</si>
  <si>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</si>
  <si>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</si>
  <si>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</si>
  <si>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</si>
  <si>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</si>
  <si>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</si>
  <si>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</si>
  <si>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</si>
  <si>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</si>
  <si>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</si>
  <si>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</si>
  <si>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</si>
  <si>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</si>
  <si>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</si>
  <si>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</si>
  <si>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</si>
  <si>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</si>
  <si>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</si>
  <si>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</si>
  <si>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</si>
  <si>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</si>
  <si>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</si>
  <si>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</si>
  <si>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</si>
  <si>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</si>
  <si>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</si>
  <si>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</si>
  <si>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</si>
  <si>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</si>
  <si>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</si>
  <si>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</si>
  <si>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</si>
  <si>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</si>
  <si>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</si>
  <si>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</si>
  <si>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</si>
  <si>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</si>
  <si>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</si>
  <si>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</si>
  <si>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</si>
  <si>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</si>
  <si>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</si>
  <si>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</si>
  <si>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</si>
  <si>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</si>
  <si>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</si>
  <si>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</si>
  <si>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</si>
  <si>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</si>
  <si>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</si>
  <si>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</si>
  <si>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</si>
  <si>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</si>
  <si>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</si>
  <si>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</si>
  <si>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</si>
  <si>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</si>
  <si>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</si>
  <si>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</si>
  <si>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</si>
  <si>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</si>
  <si>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</si>
  <si>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</si>
  <si>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</si>
  <si>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</si>
  <si>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</si>
  <si>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</si>
  <si>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</si>
  <si>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</si>
  <si>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</si>
  <si>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</si>
  <si>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</si>
  <si>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</si>
  <si>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</si>
  <si>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</si>
  <si>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</si>
  <si>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</si>
  <si>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</si>
  <si>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</si>
  <si>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</si>
  <si>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</si>
  <si>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</si>
  <si>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</si>
  <si>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</si>
  <si>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</si>
  <si>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</si>
  <si>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</si>
  <si>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</si>
  <si>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</si>
  <si>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</si>
  <si>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</si>
  <si>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</si>
  <si>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</si>
  <si>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</si>
  <si>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</si>
  <si>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</si>
  <si>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</si>
  <si>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</si>
  <si>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</si>
  <si>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</si>
  <si>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</si>
  <si>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</si>
  <si>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</si>
  <si>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</si>
  <si>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</si>
  <si>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</si>
  <si>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</si>
  <si>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</si>
  <si>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</si>
  <si>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</si>
  <si>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</si>
  <si>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</si>
  <si>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</si>
  <si>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</si>
  <si>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</si>
  <si>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</si>
  <si>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</si>
  <si>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</si>
  <si>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</si>
  <si>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</si>
  <si>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</si>
  <si>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</si>
  <si>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</si>
  <si>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</si>
  <si>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</si>
  <si>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</si>
  <si>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</si>
  <si>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</si>
  <si>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</si>
  <si>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</si>
  <si>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</si>
  <si>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</si>
  <si>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</si>
  <si>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</si>
  <si>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</si>
  <si>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</si>
  <si>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</si>
  <si>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</si>
  <si>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</si>
  <si>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</si>
  <si>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</si>
  <si>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</si>
  <si>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</si>
  <si>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</si>
  <si>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</si>
  <si>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</si>
  <si>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</si>
  <si>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</si>
  <si>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</si>
  <si>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</si>
  <si>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</si>
  <si>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</si>
  <si>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</si>
  <si>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</si>
  <si>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</si>
  <si>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</si>
  <si>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</si>
  <si>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</si>
  <si>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</si>
  <si>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</si>
  <si>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</si>
  <si>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</si>
  <si>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</si>
  <si>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</si>
  <si>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</si>
  <si>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</si>
  <si>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</si>
  <si>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</si>
  <si>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</si>
  <si>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</si>
  <si>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</si>
  <si>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</si>
  <si>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</si>
  <si>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</si>
  <si>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</si>
  <si>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</si>
  <si>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</si>
  <si>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</si>
  <si>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</si>
  <si>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</si>
  <si>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</si>
  <si>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</si>
  <si>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</si>
  <si>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</si>
  <si>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</si>
  <si>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</si>
  <si>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</si>
  <si>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</si>
  <si>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</si>
  <si>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</si>
  <si>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</si>
  <si>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</si>
  <si>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</si>
  <si>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</si>
  <si>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</si>
  <si>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</si>
  <si>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</si>
  <si>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</si>
  <si>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</si>
  <si>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</si>
  <si>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</si>
  <si>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</si>
  <si>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</si>
  <si>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</si>
  <si>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</si>
  <si>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</si>
  <si>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</si>
  <si>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</si>
  <si>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</si>
  <si>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</si>
  <si>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</si>
  <si>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</si>
  <si>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</si>
  <si>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</si>
  <si>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</si>
  <si>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</si>
  <si>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</si>
  <si>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</si>
  <si>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</si>
  <si>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</si>
  <si>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</si>
  <si>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</si>
  <si>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</si>
  <si>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</si>
  <si>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</si>
  <si>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</si>
  <si>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</si>
  <si>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</si>
  <si>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</si>
  <si>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</si>
  <si>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</si>
  <si>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</si>
  <si>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</si>
  <si>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</si>
  <si>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</si>
  <si>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</si>
  <si>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</si>
  <si>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</si>
  <si>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</si>
  <si>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</si>
  <si>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</si>
  <si>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</si>
  <si>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</si>
  <si>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</si>
  <si>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</si>
  <si>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</si>
  <si>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</si>
  <si>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</si>
  <si>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</si>
  <si>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</si>
  <si>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</si>
  <si>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</si>
  <si>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</si>
  <si>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</si>
  <si>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</si>
  <si>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</si>
  <si>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</si>
  <si>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</si>
  <si>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</si>
  <si>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</si>
  <si>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</si>
  <si>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</si>
  <si>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</si>
  <si>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</si>
  <si>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</si>
  <si>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</si>
  <si>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</si>
  <si>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</si>
  <si>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</si>
  <si>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</si>
  <si>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</si>
  <si>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</si>
  <si>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</si>
  <si>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</si>
  <si>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</si>
  <si>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</si>
  <si>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</si>
  <si>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</si>
  <si>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</si>
  <si>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</si>
  <si>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</si>
  <si>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</si>
  <si>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</si>
  <si>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</si>
  <si>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</si>
  <si>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</si>
  <si>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</si>
  <si>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</si>
  <si>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</si>
  <si>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</si>
  <si>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</si>
  <si>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</si>
  <si>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</si>
  <si>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</si>
  <si>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</si>
  <si>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</si>
  <si>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</si>
  <si>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</si>
  <si>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</si>
  <si>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</si>
  <si>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</si>
  <si>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</si>
  <si>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</si>
  <si>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</si>
  <si>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</si>
  <si>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</si>
  <si>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</si>
  <si>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</si>
  <si>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</si>
  <si>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</si>
  <si>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</si>
  <si>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</si>
  <si>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</si>
  <si>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</si>
  <si>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</si>
  <si>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</si>
  <si>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</si>
  <si>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</si>
  <si>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</si>
  <si>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</si>
  <si>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</si>
  <si>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</si>
  <si>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</si>
  <si>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</si>
  <si>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</si>
  <si>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</si>
  <si>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</si>
  <si>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</si>
  <si>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</si>
  <si>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</si>
  <si>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</si>
  <si>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</si>
  <si>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</si>
  <si>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</si>
  <si>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</si>
  <si>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</si>
  <si>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</si>
  <si>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</si>
  <si>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</si>
  <si>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</si>
  <si>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</si>
  <si>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</si>
  <si>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</si>
  <si>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</si>
  <si>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</si>
  <si>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</si>
  <si>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</si>
  <si>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</si>
  <si>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</si>
  <si>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</si>
  <si>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</si>
  <si>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</si>
  <si>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</si>
  <si>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</si>
  <si>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</si>
  <si>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</si>
  <si>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</si>
  <si>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</si>
  <si>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</si>
  <si>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</si>
  <si>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</si>
  <si>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</si>
  <si>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</si>
  <si>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</si>
  <si>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</si>
  <si>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</si>
  <si>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</si>
  <si>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</si>
  <si>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</si>
  <si>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</si>
  <si>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</si>
  <si>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</si>
  <si>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</si>
  <si>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</si>
  <si>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</si>
  <si>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</si>
  <si>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</si>
  <si>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</si>
  <si>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</si>
  <si>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</si>
  <si>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</si>
  <si>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</si>
  <si>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</si>
  <si>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</si>
  <si>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</si>
  <si>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</si>
  <si>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</si>
  <si>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</si>
  <si>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</si>
  <si>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</si>
  <si>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</si>
  <si>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</si>
  <si>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</si>
  <si>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</si>
  <si>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</si>
  <si>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</si>
  <si>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</si>
  <si>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</si>
  <si>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</si>
  <si>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</si>
  <si>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</si>
  <si>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</si>
  <si>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</si>
  <si>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</si>
  <si>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</si>
  <si>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</si>
  <si>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</si>
  <si>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</si>
  <si>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</si>
  <si>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</si>
  <si>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</si>
  <si>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</si>
  <si>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</si>
  <si>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</si>
  <si>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</si>
  <si>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</si>
  <si>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</si>
  <si>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</si>
  <si>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</si>
  <si>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</si>
  <si>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</si>
  <si>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</si>
  <si>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</si>
  <si>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</si>
  <si>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</si>
  <si>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</si>
  <si>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</si>
  <si>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</si>
  <si>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</si>
  <si>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</si>
  <si>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</si>
  <si>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</si>
  <si>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</si>
  <si>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</si>
  <si>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</si>
  <si>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</si>
  <si>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</si>
  <si>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</si>
  <si>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</si>
  <si>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</si>
  <si>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</si>
  <si>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</si>
  <si>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</si>
  <si>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</si>
  <si>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</si>
  <si>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</si>
  <si>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</si>
  <si>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</si>
  <si>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</si>
  <si>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</si>
  <si>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</si>
  <si>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</si>
  <si>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</si>
  <si>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</si>
  <si>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</si>
  <si>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</si>
  <si>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</si>
  <si>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</si>
  <si>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</si>
  <si>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</si>
  <si>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</si>
  <si>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</si>
  <si>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</si>
  <si>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</si>
  <si>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</si>
  <si>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</si>
  <si>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</si>
  <si>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</si>
  <si>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</si>
  <si>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</si>
  <si>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</si>
  <si>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</si>
  <si>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</si>
  <si>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</si>
  <si>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</si>
  <si>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</si>
  <si>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</si>
  <si>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</si>
  <si>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</si>
  <si>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</si>
  <si>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</si>
  <si>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</si>
  <si>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</si>
  <si>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</si>
  <si>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</si>
  <si>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</si>
  <si>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</si>
  <si>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</si>
  <si>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</si>
  <si>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</si>
  <si>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</si>
  <si>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</si>
  <si>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</si>
  <si>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</si>
  <si>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</si>
  <si>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</si>
  <si>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</si>
  <si>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</si>
  <si>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</si>
  <si>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</si>
  <si>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</si>
  <si>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</si>
  <si>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</si>
  <si>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</si>
  <si>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</si>
  <si>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</si>
  <si>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</si>
  <si>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</si>
  <si>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</si>
  <si>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</si>
  <si>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</si>
  <si>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</si>
  <si>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</si>
  <si>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</si>
  <si>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</si>
  <si>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</si>
  <si>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</si>
  <si>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</si>
  <si>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</si>
  <si>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</si>
  <si>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</si>
  <si>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</si>
  <si>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</si>
  <si>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</si>
  <si>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</si>
  <si>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</si>
  <si>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</si>
  <si>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</si>
  <si>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</si>
  <si>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</si>
  <si>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</si>
  <si>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</si>
  <si>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</si>
  <si>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</si>
  <si>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</si>
  <si>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</si>
  <si>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</si>
  <si>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</si>
  <si>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</si>
  <si>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</si>
  <si>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</si>
  <si>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</si>
  <si>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</si>
  <si>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</si>
  <si>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</si>
  <si>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</si>
  <si>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</si>
  <si>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</si>
  <si>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</si>
  <si>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</si>
  <si>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</si>
  <si>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</si>
  <si>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</si>
  <si>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</si>
  <si>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</si>
  <si>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</si>
  <si>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</si>
  <si>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</si>
  <si>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</si>
  <si>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</si>
  <si>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</si>
  <si>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</si>
  <si>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</si>
  <si>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</si>
  <si>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</si>
  <si>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</si>
  <si>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</si>
  <si>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</si>
  <si>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</si>
  <si>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</si>
  <si>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</si>
  <si>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</si>
  <si>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</si>
  <si>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</si>
  <si>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</si>
  <si>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</si>
  <si>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</si>
  <si>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</si>
  <si>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</si>
  <si>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</si>
  <si>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</si>
  <si>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</si>
  <si>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</si>
  <si>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</si>
  <si>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</si>
  <si>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</si>
  <si>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</si>
  <si>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</si>
  <si>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</si>
  <si>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</si>
  <si>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</si>
  <si>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</si>
  <si>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</si>
  <si>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</si>
  <si>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</si>
  <si>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</si>
  <si>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</si>
  <si>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</si>
  <si>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</si>
  <si>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</si>
  <si>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</si>
  <si>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</si>
  <si>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</si>
  <si>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</si>
  <si>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</si>
  <si>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</si>
  <si>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</si>
  <si>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</si>
  <si>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</si>
  <si>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</si>
  <si>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</si>
  <si>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</si>
  <si>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</si>
  <si>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</si>
  <si>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</si>
  <si>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</si>
  <si>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</si>
  <si>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</si>
  <si>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</si>
  <si>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</si>
  <si>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</si>
  <si>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</si>
  <si>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</si>
  <si>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</si>
  <si>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</si>
  <si>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</si>
  <si>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</si>
  <si>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</si>
  <si>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</si>
  <si>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</si>
  <si>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</si>
  <si>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</si>
  <si>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</si>
  <si>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</si>
  <si>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</si>
  <si>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</si>
  <si>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</si>
  <si>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</si>
  <si>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</si>
  <si>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</si>
  <si>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</si>
  <si>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</si>
  <si>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</si>
  <si>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</si>
  <si>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</si>
  <si>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</si>
  <si>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</si>
  <si>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</si>
  <si>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</si>
  <si>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</si>
  <si>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</si>
  <si>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</si>
  <si>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</si>
  <si>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</si>
  <si>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</si>
  <si>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</si>
  <si>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</si>
  <si>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</si>
  <si>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</si>
  <si>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</si>
  <si>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</si>
  <si>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</si>
  <si>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</si>
  <si>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</si>
  <si>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</si>
  <si>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</si>
  <si>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</si>
  <si>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</si>
  <si>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</si>
  <si>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</si>
  <si>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</si>
  <si>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</si>
  <si>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</si>
  <si>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</si>
  <si>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</si>
  <si>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</si>
  <si>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</si>
  <si>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</si>
  <si>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</si>
  <si>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</si>
  <si>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</si>
  <si>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</si>
  <si>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</si>
  <si>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</si>
  <si>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</si>
  <si>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</si>
  <si>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</si>
  <si>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</si>
  <si>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</si>
  <si>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</si>
  <si>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</si>
  <si>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</si>
  <si>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</si>
  <si>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</si>
  <si>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</si>
  <si>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</si>
  <si>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</si>
  <si>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</si>
  <si>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</si>
  <si>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</si>
  <si>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</si>
  <si>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</si>
  <si>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</si>
  <si>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</si>
  <si>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</si>
  <si>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</si>
  <si>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</si>
  <si>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</si>
  <si>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</si>
  <si>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</si>
  <si>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</si>
  <si>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</si>
  <si>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</si>
  <si>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</si>
  <si>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</si>
  <si>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</si>
  <si>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</si>
  <si>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</si>
  <si>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</si>
  <si>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</si>
  <si>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</si>
  <si>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</si>
  <si>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</si>
  <si>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</si>
  <si>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</si>
  <si>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</si>
  <si>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</si>
  <si>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</si>
  <si>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</si>
  <si>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</si>
  <si>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</si>
  <si>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</si>
  <si>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</si>
  <si>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</si>
  <si>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</si>
  <si>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</si>
  <si>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</si>
  <si>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</si>
  <si>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</si>
  <si>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</si>
  <si>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</si>
  <si>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</si>
  <si>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</si>
  <si>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</si>
  <si>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</si>
  <si>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</si>
  <si>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</si>
  <si>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</si>
  <si>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</si>
  <si>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</si>
  <si>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</si>
  <si>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</si>
  <si>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</si>
  <si>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</si>
  <si>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</si>
  <si>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</si>
  <si>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</si>
  <si>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</si>
  <si>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</si>
  <si>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</si>
  <si>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</si>
  <si>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</si>
  <si>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</si>
  <si>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</si>
  <si>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</si>
  <si>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</si>
  <si>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</si>
  <si>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</si>
  <si>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</si>
  <si>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</si>
  <si>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</si>
  <si>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</si>
  <si>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</si>
  <si>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</si>
  <si>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</si>
  <si>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</si>
  <si>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</si>
  <si>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</si>
  <si>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</si>
  <si>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</si>
  <si>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</si>
  <si>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</si>
  <si>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</si>
  <si>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</si>
  <si>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</si>
  <si>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</si>
  <si>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</si>
  <si>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</si>
  <si>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</si>
  <si>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</si>
  <si>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</si>
  <si>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</si>
  <si>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</si>
  <si>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</si>
  <si>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</si>
  <si>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</si>
  <si>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</si>
  <si>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</si>
  <si>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</si>
  <si>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</si>
  <si>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</si>
  <si>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</si>
  <si>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</si>
  <si>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</si>
  <si>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</si>
  <si>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</si>
  <si>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</si>
  <si>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</si>
  <si>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</si>
  <si>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</si>
  <si>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</si>
  <si>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</si>
  <si>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</si>
  <si>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</si>
  <si>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</si>
  <si>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</si>
  <si>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</si>
  <si>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</si>
  <si>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</si>
  <si>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</si>
  <si>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</si>
  <si>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</si>
  <si>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</si>
  <si>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</si>
  <si>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</si>
  <si>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</si>
  <si>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</si>
  <si>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</si>
  <si>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</si>
  <si>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</si>
  <si>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</si>
  <si>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</si>
  <si>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</si>
  <si>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</si>
  <si>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</si>
  <si>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</si>
  <si>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</si>
  <si>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</si>
  <si>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</si>
  <si>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</si>
  <si>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</si>
  <si>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</si>
  <si>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</si>
  <si>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</si>
  <si>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</si>
  <si>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</si>
  <si>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</si>
  <si>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</si>
  <si>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</si>
  <si>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</si>
  <si>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</si>
  <si>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</si>
  <si>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</si>
  <si>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</si>
  <si>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</si>
  <si>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</si>
  <si>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</si>
  <si>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</si>
  <si>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</si>
  <si>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</si>
  <si>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</si>
  <si>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</si>
  <si>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</si>
  <si>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</si>
  <si>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</si>
  <si>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</si>
  <si>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</si>
  <si>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</si>
  <si>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</si>
  <si>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</si>
  <si>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</si>
  <si>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</si>
  <si>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</si>
  <si>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</si>
  <si>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</si>
  <si>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</si>
  <si>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</si>
  <si>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</si>
  <si>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</si>
  <si>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</si>
  <si>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</si>
  <si>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</si>
  <si>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</si>
  <si>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</si>
  <si>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</si>
  <si>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</si>
  <si>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</si>
  <si>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</si>
  <si>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</si>
  <si>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</si>
  <si>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</si>
  <si>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</si>
  <si>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</si>
  <si>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</si>
  <si>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</si>
  <si>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</si>
  <si>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</si>
  <si>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</si>
  <si>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</si>
  <si>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</si>
  <si>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</si>
  <si>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</si>
  <si>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</si>
  <si>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</si>
  <si>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</si>
  <si>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</si>
  <si>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</si>
  <si>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</si>
  <si>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</si>
  <si>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</si>
  <si>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</si>
  <si>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</si>
  <si>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</si>
  <si>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</si>
  <si>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</si>
  <si>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</si>
  <si>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</si>
  <si>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</si>
  <si>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</si>
  <si>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</si>
  <si>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</si>
  <si>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</si>
  <si>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</si>
  <si>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</si>
  <si>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</si>
  <si>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</si>
  <si>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</si>
  <si>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</si>
  <si>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</si>
  <si>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</si>
  <si>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</si>
  <si>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</si>
  <si>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</si>
  <si>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</si>
  <si>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</si>
  <si>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</si>
  <si>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</si>
  <si>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</si>
  <si>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</si>
  <si>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</si>
  <si>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</si>
  <si>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</si>
  <si>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</si>
  <si>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</si>
  <si>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</si>
  <si>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</si>
  <si>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</si>
  <si>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</si>
  <si>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</si>
  <si>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</si>
  <si>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</si>
  <si>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</si>
  <si>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</si>
  <si>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</si>
  <si>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</si>
  <si>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</si>
  <si>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</si>
  <si>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</si>
  <si>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</si>
  <si>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</si>
  <si>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</si>
  <si>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</si>
  <si>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</si>
  <si>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</si>
  <si>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</si>
  <si>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</si>
  <si>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</si>
  <si>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</si>
  <si>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</si>
  <si>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</si>
  <si>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</si>
  <si>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</si>
  <si>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</si>
  <si>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</si>
  <si>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</si>
  <si>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</si>
  <si>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</si>
  <si>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</si>
  <si>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</si>
  <si>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</si>
  <si>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</si>
  <si>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</si>
  <si>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</si>
  <si>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</si>
  <si>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</si>
  <si>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</si>
  <si>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</si>
  <si>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</si>
  <si>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</si>
  <si>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</si>
  <si>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</si>
  <si>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</si>
  <si>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</si>
  <si>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</si>
  <si>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</si>
  <si>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</si>
  <si>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</si>
  <si>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</si>
  <si>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</si>
  <si>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</si>
  <si>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</si>
  <si>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</si>
  <si>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</si>
  <si>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</si>
  <si>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</si>
  <si>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</si>
  <si>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</si>
  <si>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</si>
  <si>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</si>
  <si>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</si>
  <si>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</si>
  <si>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</si>
  <si>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</si>
  <si>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</si>
  <si>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</si>
  <si>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</si>
  <si>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</si>
  <si>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</si>
  <si>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</si>
  <si>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</si>
  <si>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</si>
  <si>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</si>
  <si>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</si>
  <si>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</si>
  <si>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</si>
  <si>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</si>
  <si>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</si>
  <si>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</si>
  <si>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</si>
  <si>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</si>
  <si>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</si>
  <si>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</si>
  <si>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</si>
  <si>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</si>
  <si>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</si>
  <si>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</si>
  <si>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</si>
  <si>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</si>
  <si>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</si>
  <si>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</si>
  <si>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</si>
  <si>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</si>
  <si>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</si>
  <si>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</si>
  <si>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</si>
  <si>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</si>
  <si>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</si>
  <si>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</si>
  <si>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</si>
  <si>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</si>
  <si>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</si>
  <si>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</si>
  <si>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</si>
  <si>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</si>
  <si>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</si>
  <si>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</si>
  <si>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</si>
  <si>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</si>
  <si>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</si>
  <si>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</si>
  <si>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</si>
  <si>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</si>
  <si>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</si>
  <si>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</si>
  <si>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</si>
  <si>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</si>
  <si>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</si>
  <si>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</si>
  <si>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</si>
  <si>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</si>
  <si>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</si>
  <si>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</si>
  <si>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</si>
  <si>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</si>
  <si>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</si>
  <si>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</si>
  <si>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</si>
  <si>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</si>
  <si>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</si>
  <si>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</si>
  <si>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</si>
  <si>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</si>
  <si>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</si>
  <si>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</si>
  <si>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</si>
  <si>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</si>
  <si>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</si>
  <si>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</si>
  <si>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</si>
  <si>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</si>
  <si>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</si>
  <si>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</si>
  <si>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</si>
  <si>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</si>
  <si>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</si>
  <si>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</si>
  <si>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</si>
  <si>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</si>
  <si>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</si>
  <si>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</si>
  <si>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</si>
  <si>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</si>
  <si>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</si>
  <si>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</si>
  <si>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</si>
  <si>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</si>
  <si>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</si>
  <si>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</si>
  <si>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</si>
  <si>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</si>
  <si>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</si>
  <si>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</si>
  <si>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</si>
  <si>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</si>
  <si>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</si>
  <si>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</si>
  <si>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</si>
  <si>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</si>
  <si>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</si>
  <si>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</si>
  <si>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</si>
  <si>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</si>
  <si>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</si>
  <si>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</si>
  <si>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</si>
  <si>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</si>
  <si>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</si>
  <si>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</si>
  <si>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</si>
  <si>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</si>
  <si>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</si>
  <si>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</si>
  <si>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</si>
  <si>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</si>
  <si>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</si>
  <si>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</si>
  <si>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</si>
  <si>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</si>
  <si>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</si>
  <si>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</si>
  <si>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</si>
  <si>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</si>
  <si>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</si>
  <si>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</si>
  <si>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</si>
  <si>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</si>
  <si>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</si>
  <si>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</si>
  <si>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</si>
  <si>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</si>
  <si>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</si>
  <si>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</si>
  <si>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</si>
  <si>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</si>
  <si>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</si>
  <si>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</si>
  <si>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</si>
  <si>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</si>
  <si>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</si>
  <si>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</si>
  <si>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</si>
  <si>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</si>
  <si>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</si>
  <si>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</si>
  <si>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</si>
  <si>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</si>
  <si>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</si>
  <si>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</si>
  <si>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</si>
  <si>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</si>
  <si>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</si>
  <si>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</si>
  <si>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</si>
  <si>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</si>
  <si>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</si>
  <si>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</si>
  <si>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</si>
  <si>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</si>
  <si>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</si>
  <si>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</si>
  <si>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</si>
  <si>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</si>
  <si>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</si>
  <si>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</si>
  <si>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</si>
  <si>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</si>
  <si>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</si>
  <si>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</si>
  <si>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</si>
  <si>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</si>
  <si>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</si>
  <si>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</si>
  <si>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</si>
  <si>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</si>
  <si>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</si>
  <si>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</si>
  <si>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</si>
  <si>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</si>
  <si>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</si>
  <si>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</si>
  <si>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</si>
  <si>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</si>
  <si>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</si>
  <si>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</si>
  <si>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</si>
  <si>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</si>
  <si>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</si>
  <si>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</si>
  <si>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</si>
  <si>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</si>
  <si>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</si>
  <si>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</si>
  <si>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</si>
  <si>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</si>
  <si>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</si>
  <si>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</si>
  <si>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</si>
  <si>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</si>
  <si>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</si>
  <si>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</si>
  <si>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</si>
  <si>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</si>
  <si>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</si>
  <si>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</si>
  <si>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</si>
  <si>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</si>
  <si>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</si>
  <si>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</si>
  <si>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</si>
  <si>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</si>
  <si>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</si>
  <si>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</si>
  <si>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</si>
  <si>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</si>
  <si>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</si>
  <si>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</si>
  <si>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</si>
  <si>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</si>
  <si>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</si>
  <si>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</si>
  <si>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</si>
  <si>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</si>
  <si>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</si>
  <si>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</si>
  <si>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</si>
  <si>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</si>
  <si>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</si>
  <si>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</si>
  <si>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</si>
  <si>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</si>
  <si>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</si>
  <si>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</si>
  <si>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</si>
  <si>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</si>
  <si>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</si>
  <si>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</si>
  <si>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</si>
  <si>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</si>
  <si>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</si>
  <si>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</si>
  <si>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</si>
  <si>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</si>
  <si>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</si>
  <si>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</si>
  <si>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</si>
  <si>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</si>
  <si>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</si>
  <si>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</si>
  <si>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</si>
  <si>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</si>
  <si>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</si>
  <si>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</si>
  <si>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</si>
  <si>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</si>
  <si>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</si>
  <si>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</si>
  <si>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</si>
  <si>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</si>
  <si>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</si>
  <si>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</si>
  <si>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</si>
  <si>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</si>
  <si>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</si>
  <si>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</si>
  <si>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</si>
  <si>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</si>
  <si>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</si>
  <si>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</si>
  <si>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</si>
  <si>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</si>
  <si>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</si>
  <si>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</si>
  <si>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</si>
  <si>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</si>
  <si>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</si>
  <si>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</si>
  <si>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</si>
  <si>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</si>
  <si>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</si>
  <si>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</si>
  <si>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</si>
  <si>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</si>
  <si>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</si>
  <si>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</si>
  <si>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</si>
  <si>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</si>
  <si>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</si>
  <si>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</si>
  <si>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</si>
  <si>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</si>
  <si>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</si>
  <si>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</si>
  <si>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</si>
  <si>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</si>
  <si>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</si>
  <si>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</si>
  <si>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</si>
  <si>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</si>
  <si>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</si>
  <si>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</si>
  <si>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</si>
  <si>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</si>
  <si>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</si>
  <si>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</si>
  <si>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</si>
  <si>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</si>
  <si>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</si>
  <si>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</si>
  <si>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</si>
  <si>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</si>
  <si>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</si>
  <si>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</si>
  <si>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</si>
  <si>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</si>
  <si>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</si>
  <si>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</si>
  <si>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</si>
  <si>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</si>
  <si>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</si>
  <si>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</si>
  <si>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</si>
  <si>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</si>
  <si>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</si>
  <si>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</si>
  <si>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</si>
  <si>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</si>
  <si>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</si>
  <si>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</si>
  <si>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</si>
  <si>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</si>
  <si>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</si>
  <si>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</si>
  <si>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</si>
  <si>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</si>
  <si>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</si>
  <si>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</si>
  <si>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</si>
  <si>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</si>
  <si>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</si>
  <si>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</si>
  <si>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</si>
  <si>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</si>
  <si>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</si>
  <si>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</si>
  <si>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</si>
  <si>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</si>
  <si>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</si>
  <si>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</si>
  <si>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</si>
  <si>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</si>
  <si>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</si>
  <si>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</si>
  <si>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</si>
  <si>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</si>
  <si>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</si>
  <si>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</si>
  <si>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</si>
  <si>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</si>
  <si>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</si>
  <si>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</si>
  <si>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</si>
  <si>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</si>
  <si>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</si>
  <si>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</si>
  <si>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</si>
  <si>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</si>
  <si>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</si>
  <si>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</si>
  <si>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</si>
  <si>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</si>
  <si>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</si>
  <si>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</si>
  <si>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</si>
  <si>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</si>
  <si>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</si>
  <si>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</si>
  <si>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</si>
  <si>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</si>
  <si>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</si>
  <si>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</si>
  <si>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</si>
  <si>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</si>
  <si>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</si>
  <si>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</si>
  <si>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</si>
  <si>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</si>
  <si>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</si>
  <si>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</si>
  <si>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</si>
  <si>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</si>
  <si>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</si>
  <si>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</si>
  <si>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</si>
  <si>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</si>
  <si>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</si>
  <si>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</si>
  <si>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</si>
  <si>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</si>
  <si>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</si>
  <si>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</si>
  <si>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</si>
  <si>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</si>
  <si>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</si>
  <si>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</si>
  <si>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</si>
  <si>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</si>
  <si>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</si>
  <si>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</si>
  <si>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</si>
  <si>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</si>
  <si>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</si>
  <si>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</si>
  <si>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</si>
  <si>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</si>
  <si>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</si>
  <si>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</si>
  <si>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</si>
  <si>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</si>
  <si>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</si>
  <si>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</si>
  <si>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</si>
  <si>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</si>
  <si>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</si>
  <si>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</si>
  <si>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</si>
  <si>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</si>
  <si>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</si>
  <si>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</si>
  <si>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</si>
  <si>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</si>
  <si>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</si>
  <si>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</si>
  <si>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</si>
  <si>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</si>
  <si>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</si>
  <si>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</si>
  <si>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</si>
  <si>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</si>
  <si>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</si>
  <si>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</si>
  <si>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</si>
  <si>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</si>
  <si>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</si>
  <si>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</si>
  <si>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</si>
  <si>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</si>
  <si>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</si>
  <si>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</si>
  <si>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</si>
  <si>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</si>
  <si>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</si>
  <si>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</si>
  <si>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</si>
  <si>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</si>
  <si>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</si>
  <si>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</si>
  <si>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</si>
  <si>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</si>
  <si>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</si>
  <si>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</si>
  <si>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</si>
  <si>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</si>
  <si>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</si>
  <si>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</si>
  <si>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</si>
  <si>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</si>
  <si>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</si>
  <si>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</si>
  <si>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</si>
  <si>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</si>
  <si>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</si>
  <si>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</si>
  <si>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</si>
  <si>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</si>
  <si>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</si>
  <si>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</si>
  <si>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</si>
  <si>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</si>
  <si>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</si>
  <si>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</si>
  <si>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</si>
  <si>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</si>
  <si>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</si>
  <si>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</si>
  <si>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</si>
  <si>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</si>
  <si>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</si>
  <si>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</si>
  <si>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</si>
  <si>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</si>
  <si>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</si>
  <si>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</si>
  <si>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</si>
  <si>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</si>
  <si>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</si>
  <si>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</si>
  <si>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</si>
  <si>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</si>
  <si>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</si>
  <si>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</si>
  <si>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</si>
  <si>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</si>
  <si>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</si>
  <si>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</si>
  <si>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</si>
  <si>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</si>
  <si>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</si>
  <si>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</si>
  <si>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</si>
  <si>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</si>
  <si>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</si>
  <si>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</si>
  <si>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</si>
  <si>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</si>
  <si>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</si>
  <si>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</si>
  <si>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</si>
  <si>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</si>
  <si>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</si>
  <si>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</si>
  <si>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</si>
  <si>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</si>
  <si>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</si>
  <si>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</si>
  <si>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</si>
  <si>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</si>
  <si>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</si>
  <si>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</si>
  <si>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</si>
  <si>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</si>
  <si>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</si>
  <si>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</si>
  <si>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</si>
  <si>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</si>
  <si>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</si>
  <si>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</si>
  <si>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</si>
  <si>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</si>
  <si>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</si>
  <si>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</si>
  <si>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</si>
  <si>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</si>
  <si>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</si>
  <si>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</si>
  <si>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</si>
  <si>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</si>
  <si>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</si>
  <si>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</si>
  <si>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</si>
  <si>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</si>
  <si>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</si>
  <si>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</si>
  <si>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</si>
  <si>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</si>
  <si>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</si>
  <si>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</si>
  <si>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</si>
  <si>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</si>
  <si>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</si>
  <si>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</si>
  <si>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</si>
  <si>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</si>
  <si>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</si>
  <si>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</si>
  <si>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</si>
  <si>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</si>
  <si>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</si>
  <si>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</si>
  <si>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</si>
  <si>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</si>
  <si>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</si>
  <si>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</si>
  <si>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</si>
  <si>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</si>
  <si>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</si>
  <si>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</si>
  <si>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</si>
  <si>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</si>
  <si>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</si>
  <si>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</si>
  <si>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</si>
  <si>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</si>
  <si>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</si>
  <si>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</si>
  <si>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</si>
  <si>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</si>
  <si>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</si>
  <si>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</si>
  <si>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</si>
  <si>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</si>
  <si>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</si>
  <si>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</si>
  <si>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</si>
  <si>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</si>
  <si>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</si>
  <si>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</si>
  <si>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</si>
  <si>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</si>
  <si>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</si>
  <si>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</si>
  <si>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</si>
  <si>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</si>
  <si>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</si>
  <si>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</si>
  <si>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</si>
  <si>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</si>
  <si>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</si>
  <si>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</si>
  <si>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</si>
  <si>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</si>
  <si>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</si>
  <si>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</si>
  <si>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</si>
  <si>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</si>
  <si>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</si>
  <si>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</si>
  <si>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</si>
  <si>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</si>
  <si>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</si>
  <si>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</si>
  <si>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</si>
  <si>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</si>
  <si>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</si>
  <si>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</si>
  <si>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</si>
  <si>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</si>
  <si>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</si>
  <si>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</si>
  <si>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</si>
  <si>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</si>
  <si>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</si>
  <si>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</si>
  <si>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</si>
  <si>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</si>
  <si>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</si>
  <si>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</si>
  <si>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</si>
  <si>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</si>
  <si>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</si>
  <si>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</si>
  <si>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</si>
  <si>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</si>
  <si>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</si>
  <si>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</si>
  <si>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</si>
  <si>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</si>
  <si>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</si>
  <si>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</si>
  <si>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</si>
  <si>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</si>
  <si>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</si>
  <si>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</si>
  <si>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</si>
  <si>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</si>
  <si>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</si>
  <si>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</si>
  <si>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</si>
  <si>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</si>
  <si>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</si>
  <si>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</si>
  <si>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</si>
  <si>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</si>
  <si>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</si>
  <si>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</si>
  <si>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</si>
  <si>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</si>
  <si>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</si>
  <si>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</si>
  <si>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</si>
  <si>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</si>
  <si>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</si>
  <si>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</si>
  <si>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</si>
  <si>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</si>
  <si>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</si>
  <si>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</si>
  <si>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</si>
  <si>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</si>
  <si>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</si>
  <si>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</si>
  <si>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</si>
  <si>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</si>
  <si>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</si>
  <si>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</si>
  <si>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</si>
  <si>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</si>
  <si>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</si>
  <si>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</si>
  <si>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</si>
  <si>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</si>
  <si>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</si>
  <si>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</si>
  <si>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</si>
  <si>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</si>
  <si>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</si>
  <si>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</si>
  <si>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</si>
  <si>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</si>
  <si>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</si>
  <si>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</si>
  <si>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</si>
  <si>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</si>
  <si>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</si>
  <si>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</si>
  <si>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</si>
  <si>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</si>
  <si>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</si>
  <si>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</si>
  <si>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</si>
  <si>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</si>
  <si>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</si>
  <si>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</si>
  <si>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</si>
  <si>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</si>
  <si>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</si>
  <si>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</si>
  <si>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</si>
  <si>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</si>
  <si>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</si>
  <si>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</si>
  <si>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</si>
  <si>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</si>
  <si>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</si>
  <si>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</si>
  <si>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</si>
  <si>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</si>
  <si>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</si>
  <si>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</si>
  <si>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</si>
  <si>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</si>
  <si>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</si>
  <si>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</si>
  <si>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</si>
  <si>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</si>
  <si>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</si>
  <si>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</si>
  <si>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</si>
  <si>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</si>
  <si>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</si>
  <si>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</si>
  <si>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</si>
  <si>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</si>
  <si>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</si>
  <si>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</si>
  <si>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</si>
  <si>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</si>
  <si>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</si>
  <si>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</si>
  <si>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</si>
  <si>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</si>
  <si>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</si>
  <si>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</si>
  <si>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</si>
  <si>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</si>
  <si>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</si>
  <si>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</si>
  <si>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</si>
  <si>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</si>
  <si>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</si>
  <si>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</si>
  <si>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</si>
  <si>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</si>
  <si>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</si>
  <si>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</si>
  <si>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</si>
  <si>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</si>
  <si>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</si>
  <si>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</si>
  <si>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</si>
  <si>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</si>
  <si>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</si>
  <si>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</si>
  <si>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</si>
  <si>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</si>
  <si>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</si>
  <si>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</si>
  <si>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</si>
  <si>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</si>
  <si>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</si>
  <si>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</si>
  <si>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</si>
  <si>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</si>
  <si>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</si>
  <si>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</si>
  <si>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</si>
  <si>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</si>
  <si>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</si>
  <si>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</si>
  <si>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</si>
  <si>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</si>
  <si>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</si>
  <si>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</si>
  <si>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</si>
  <si>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</si>
  <si>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</si>
  <si>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</si>
  <si>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</si>
  <si>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</si>
  <si>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</si>
  <si>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</si>
  <si>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</si>
  <si>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</si>
  <si>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</si>
  <si>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</si>
  <si>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</si>
  <si>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</si>
  <si>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</si>
  <si>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</si>
  <si>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</si>
  <si>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</si>
  <si>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</si>
  <si>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</si>
  <si>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</si>
  <si>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</si>
  <si>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</si>
  <si>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</si>
  <si>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</si>
  <si>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</si>
  <si>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</si>
  <si>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</si>
  <si>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</si>
  <si>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</si>
  <si>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</si>
  <si>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</si>
  <si>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</si>
  <si>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</si>
  <si>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</si>
  <si>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</si>
  <si>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</si>
  <si>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</si>
  <si>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</si>
  <si>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</si>
  <si>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</si>
  <si>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</si>
  <si>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</si>
  <si>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</si>
  <si>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</si>
  <si>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</si>
  <si>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</si>
  <si>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</si>
  <si>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</si>
  <si>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</si>
  <si>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</si>
  <si>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</si>
  <si>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</si>
  <si>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</si>
  <si>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</si>
  <si>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</si>
  <si>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</si>
  <si>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</si>
  <si>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</si>
  <si>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</si>
  <si>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</si>
  <si>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</si>
  <si>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</si>
  <si>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</si>
  <si>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</si>
  <si>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</si>
  <si>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</si>
  <si>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</si>
  <si>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</si>
  <si>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</si>
  <si>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</si>
  <si>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</si>
  <si>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</si>
  <si>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</si>
  <si>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</si>
  <si>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</si>
  <si>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</si>
  <si>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</si>
  <si>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</si>
  <si>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</si>
  <si>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</si>
  <si>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</si>
  <si>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</si>
  <si>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</si>
  <si>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</si>
  <si>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</si>
  <si>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</si>
  <si>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</si>
  <si>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</si>
  <si>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</si>
  <si>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</si>
  <si>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</si>
  <si>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</si>
  <si>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</si>
  <si>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</si>
  <si>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</si>
  <si>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</si>
  <si>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</si>
  <si>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</si>
  <si>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</si>
  <si>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</si>
  <si>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</si>
  <si>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</si>
  <si>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</si>
  <si>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</si>
  <si>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</si>
  <si>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</si>
  <si>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</si>
  <si>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</si>
  <si>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</si>
  <si>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</si>
  <si>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</si>
  <si>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</si>
  <si>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</si>
  <si>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</si>
  <si>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</si>
  <si>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</si>
  <si>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</si>
  <si>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</si>
  <si>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</si>
  <si>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</si>
  <si>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</si>
  <si>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</si>
  <si>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</si>
  <si>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</si>
  <si>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</si>
  <si>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</si>
  <si>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</si>
  <si>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</si>
  <si>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</si>
  <si>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</si>
  <si>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</si>
  <si>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</si>
  <si>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</si>
  <si>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</si>
  <si>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</si>
  <si>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</si>
  <si>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</si>
  <si>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</si>
  <si>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</si>
  <si>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</si>
  <si>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</si>
  <si>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</si>
  <si>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</si>
  <si>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</si>
  <si>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</si>
  <si>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</si>
  <si>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</si>
  <si>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</si>
  <si>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</si>
  <si>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</si>
  <si>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</si>
  <si>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</si>
  <si>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</si>
  <si>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</si>
  <si>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</si>
  <si>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</si>
  <si>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</si>
  <si>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</si>
  <si>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</si>
  <si>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</si>
  <si>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</si>
  <si>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</si>
  <si>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</si>
  <si>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</si>
  <si>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</si>
  <si>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</si>
  <si>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</si>
  <si>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</si>
  <si>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</si>
  <si>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</si>
  <si>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</si>
  <si>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</si>
  <si>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</si>
  <si>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</si>
  <si>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</si>
  <si>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</si>
  <si>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</si>
  <si>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</si>
  <si>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</si>
  <si>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</si>
  <si>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</si>
  <si>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</si>
  <si>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</si>
  <si>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</si>
  <si>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</si>
  <si>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</si>
  <si>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</si>
  <si>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</si>
  <si>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</si>
  <si>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</si>
  <si>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</si>
  <si>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</si>
  <si>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</si>
  <si>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</si>
  <si>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</si>
  <si>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</si>
  <si>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</si>
  <si>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</si>
  <si>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</si>
  <si>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</si>
  <si>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</si>
  <si>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</si>
  <si>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</si>
  <si>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</si>
  <si>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</si>
  <si>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</si>
  <si>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</si>
  <si>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</si>
  <si>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</si>
  <si>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</si>
  <si>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</si>
  <si>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</si>
  <si>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</si>
  <si>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</si>
  <si>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</si>
  <si>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</si>
  <si>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</si>
  <si>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</si>
  <si>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</si>
  <si>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</si>
  <si>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</si>
  <si>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</si>
  <si>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</si>
  <si>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</si>
  <si>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</si>
  <si>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</si>
  <si>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</si>
  <si>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</si>
  <si>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</si>
  <si>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</si>
  <si>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</si>
  <si>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</si>
  <si>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</si>
  <si>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</si>
  <si>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</si>
  <si>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</si>
  <si>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</si>
  <si>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</si>
  <si>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</si>
  <si>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</si>
  <si>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</si>
  <si>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</si>
  <si>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</si>
  <si>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</si>
  <si>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</si>
  <si>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</si>
  <si>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</si>
  <si>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</si>
  <si>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</si>
  <si>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</si>
  <si>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</si>
  <si>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</si>
  <si>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</si>
  <si>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</si>
  <si>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</si>
  <si>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</si>
  <si>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</si>
  <si>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</si>
  <si>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</si>
  <si>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</si>
  <si>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</si>
  <si>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</si>
  <si>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</si>
  <si>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</si>
  <si>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</si>
  <si>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</si>
  <si>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</si>
  <si>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</si>
  <si>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</si>
  <si>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</si>
  <si>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</si>
  <si>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</si>
  <si>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</si>
  <si>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</si>
  <si>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</si>
  <si>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</si>
  <si>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</si>
  <si>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</si>
  <si>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</si>
  <si>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</si>
  <si>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</si>
  <si>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</si>
  <si>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</si>
  <si>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</si>
  <si>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</si>
  <si>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</si>
  <si>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</si>
  <si>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</si>
  <si>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</si>
  <si>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</si>
  <si>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</si>
  <si>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</si>
  <si>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</si>
  <si>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</si>
  <si>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</si>
  <si>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</si>
  <si>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</si>
  <si>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</si>
  <si>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</si>
  <si>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</si>
  <si>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</si>
  <si>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</si>
  <si>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</si>
  <si>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</si>
  <si>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</si>
  <si>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</si>
  <si>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</si>
  <si>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</si>
  <si>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</si>
  <si>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</si>
  <si>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</si>
  <si>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</si>
  <si>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</si>
  <si>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</si>
  <si>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</si>
  <si>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</si>
  <si>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</si>
  <si>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</si>
  <si>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</si>
  <si>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</si>
  <si>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</si>
  <si>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</si>
  <si>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</si>
  <si>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</si>
  <si>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</si>
  <si>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</si>
  <si>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</si>
  <si>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</si>
  <si>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</si>
  <si>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</si>
  <si>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</si>
  <si>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</si>
  <si>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</si>
  <si>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</si>
  <si>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</si>
  <si>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</si>
  <si>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</si>
  <si>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</si>
  <si>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</si>
  <si>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</si>
  <si>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</si>
  <si>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</si>
  <si>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</si>
  <si>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</si>
  <si>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</si>
  <si>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</si>
  <si>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</si>
  <si>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</si>
  <si>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</si>
  <si>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</si>
  <si>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</si>
  <si>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</si>
  <si>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</si>
  <si>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</si>
  <si>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</si>
  <si>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</si>
  <si>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</si>
  <si>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</si>
  <si>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</si>
  <si>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</si>
  <si>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</si>
  <si>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</si>
  <si>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</si>
  <si>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</si>
  <si>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</si>
  <si>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</si>
  <si>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</si>
  <si>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</si>
  <si>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</si>
  <si>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</si>
  <si>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</si>
  <si>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</si>
  <si>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</si>
  <si>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</si>
  <si>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</si>
  <si>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</si>
  <si>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</si>
  <si>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</si>
  <si>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</si>
  <si>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</si>
  <si>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</si>
  <si>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</si>
  <si>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</si>
  <si>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</si>
  <si>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</si>
  <si>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</si>
  <si>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</si>
  <si>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</si>
  <si>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</si>
  <si>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</si>
  <si>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</si>
  <si>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</si>
  <si>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</si>
  <si>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</si>
  <si>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</si>
  <si>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</si>
  <si>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</si>
  <si>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</si>
  <si>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</si>
  <si>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</si>
  <si>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</si>
  <si>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</si>
  <si>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</si>
  <si>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</si>
  <si>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</si>
  <si>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</si>
  <si>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</si>
  <si>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</si>
  <si>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</si>
  <si>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</si>
  <si>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</si>
  <si>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</si>
  <si>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</si>
  <si>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</si>
  <si>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</si>
  <si>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</si>
  <si>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</si>
  <si>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</si>
  <si>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</si>
  <si>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</si>
  <si>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</si>
  <si>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</si>
  <si>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</si>
  <si>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</si>
  <si>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</si>
  <si>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</si>
  <si>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</si>
  <si>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</si>
  <si>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</si>
  <si>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</si>
  <si>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</si>
  <si>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</si>
  <si>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</si>
  <si>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</si>
  <si>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</si>
  <si>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</si>
  <si>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</si>
  <si>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</si>
  <si>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</si>
  <si>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</si>
  <si>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</si>
  <si>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</si>
  <si>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</si>
  <si>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</si>
  <si>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</si>
  <si>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</si>
  <si>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</si>
  <si>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</si>
  <si>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</si>
  <si>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</si>
  <si>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</si>
  <si>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</si>
  <si>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</si>
  <si>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</si>
  <si>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</si>
  <si>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</si>
  <si>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</si>
  <si>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</si>
  <si>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</si>
  <si>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</si>
  <si>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</si>
  <si>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</si>
  <si>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</si>
  <si>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</si>
  <si>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</si>
  <si>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</si>
  <si>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</si>
  <si>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</si>
  <si>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</si>
  <si>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</si>
  <si>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</si>
  <si>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</si>
  <si>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</si>
  <si>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</si>
  <si>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</si>
  <si>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</si>
  <si>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</si>
  <si>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</si>
  <si>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</si>
  <si>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</si>
  <si>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</si>
  <si>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</si>
  <si>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</si>
  <si>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</si>
  <si>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</si>
  <si>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</si>
  <si>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</si>
  <si>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</si>
  <si>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</si>
  <si>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</si>
  <si>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</si>
  <si>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</si>
  <si>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</si>
  <si>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</si>
  <si>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</si>
  <si>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</si>
  <si>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</si>
  <si>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</si>
  <si>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</si>
  <si>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</si>
  <si>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</si>
  <si>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</si>
  <si>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</si>
  <si>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</si>
  <si>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</si>
  <si>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</si>
  <si>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</si>
  <si>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</si>
  <si>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</si>
  <si>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</si>
  <si>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</si>
  <si>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</si>
  <si>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</si>
  <si>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</si>
  <si>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</si>
  <si>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</si>
  <si>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</si>
  <si>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</si>
  <si>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</si>
  <si>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</si>
  <si>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</si>
  <si>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</si>
  <si>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</si>
  <si>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</si>
  <si>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</si>
  <si>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</si>
  <si>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</si>
  <si>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</si>
  <si>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</si>
  <si>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</si>
  <si>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</si>
  <si>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</si>
  <si>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</si>
  <si>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</si>
  <si>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</si>
  <si>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</si>
  <si>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</si>
  <si>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</si>
  <si>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</si>
  <si>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</si>
  <si>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</si>
  <si>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</si>
  <si>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</si>
  <si>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</si>
  <si>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</si>
  <si>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</si>
  <si>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</si>
  <si>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</si>
  <si>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</si>
  <si>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</si>
  <si>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</si>
  <si>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</si>
  <si>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</si>
  <si>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</si>
  <si>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</si>
  <si>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</si>
  <si>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</si>
  <si>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</si>
  <si>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</si>
  <si>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</si>
  <si>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</si>
  <si>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</si>
  <si>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</si>
  <si>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</si>
  <si>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</si>
  <si>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</si>
  <si>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</si>
  <si>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</si>
  <si>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</si>
  <si>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</si>
  <si>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</si>
  <si>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</si>
  <si>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</si>
  <si>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</si>
  <si>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</si>
  <si>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</si>
  <si>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</si>
  <si>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</si>
  <si>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</si>
  <si>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</si>
  <si>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</si>
  <si>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</si>
  <si>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</si>
  <si>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</si>
  <si>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</si>
  <si>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</si>
  <si>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</si>
  <si>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</si>
  <si>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</si>
  <si>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</si>
  <si>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</si>
  <si>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</si>
  <si>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</si>
  <si>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</si>
  <si>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</si>
  <si>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</si>
  <si>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</si>
  <si>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</si>
  <si>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</si>
  <si>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</si>
  <si>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</si>
  <si>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</si>
  <si>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</si>
  <si>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</si>
  <si>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</si>
  <si>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</si>
  <si>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</si>
  <si>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</si>
  <si>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</si>
  <si>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</si>
  <si>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</si>
  <si>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</si>
  <si>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</si>
  <si>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</si>
  <si>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</si>
  <si>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</si>
  <si>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</si>
  <si>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</si>
  <si>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</si>
  <si>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</si>
  <si>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</si>
  <si>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</si>
  <si>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</si>
  <si>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</si>
  <si>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</si>
  <si>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</si>
  <si>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</si>
  <si>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</si>
  <si>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</si>
  <si>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</si>
  <si>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</si>
  <si>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</si>
  <si>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</si>
  <si>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</si>
  <si>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</si>
  <si>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</si>
  <si>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</si>
  <si>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</si>
  <si>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</si>
  <si>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</si>
  <si>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</si>
  <si>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</si>
  <si>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</si>
  <si>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</si>
  <si>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</si>
  <si>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</si>
  <si>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</si>
  <si>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</si>
  <si>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</si>
  <si>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</si>
  <si>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</si>
  <si>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</si>
  <si>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</si>
  <si>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</si>
  <si>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</si>
  <si>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</si>
  <si>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</si>
  <si>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</si>
  <si>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</si>
  <si>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</si>
  <si>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</si>
  <si>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</si>
  <si>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</si>
  <si>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</si>
  <si>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</si>
  <si>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</si>
  <si>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</si>
  <si>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</si>
  <si>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</si>
  <si>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</si>
  <si>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</si>
  <si>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</si>
  <si>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</si>
  <si>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</si>
  <si>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</si>
  <si>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</si>
  <si>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</si>
  <si>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</si>
  <si>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</si>
  <si>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</si>
  <si>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</si>
  <si>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</si>
  <si>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</si>
  <si>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</si>
  <si>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</si>
  <si>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</si>
  <si>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</si>
  <si>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</si>
  <si>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</si>
  <si>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</si>
  <si>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</si>
  <si>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</si>
  <si>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</si>
  <si>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</si>
  <si>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</si>
  <si>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</si>
  <si>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</si>
  <si>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</si>
  <si>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</si>
  <si>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</si>
  <si>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</si>
  <si>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</si>
  <si>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</si>
  <si>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</si>
  <si>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</si>
  <si>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</si>
  <si>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</si>
  <si>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</si>
  <si>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</si>
  <si>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</si>
  <si>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</si>
  <si>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</si>
  <si>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</si>
  <si>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</si>
  <si>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</si>
  <si>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</si>
  <si>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</si>
  <si>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</si>
  <si>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</si>
  <si>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</si>
  <si>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</si>
  <si>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</si>
  <si>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</si>
  <si>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</si>
  <si>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</si>
  <si>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</si>
  <si>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</si>
  <si>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</si>
  <si>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</si>
  <si>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</si>
  <si>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</si>
  <si>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</si>
  <si>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</si>
  <si>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</si>
  <si>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</si>
  <si>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</si>
  <si>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</si>
  <si>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</si>
  <si>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</si>
  <si>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</si>
  <si>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</si>
  <si>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</si>
  <si>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</si>
  <si>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</si>
  <si>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</si>
  <si>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</si>
  <si>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</si>
  <si>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</si>
  <si>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</si>
  <si>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</si>
  <si>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</si>
  <si>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</si>
  <si>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</si>
  <si>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</si>
  <si>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</si>
  <si>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</si>
  <si>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</si>
  <si>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</si>
  <si>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</si>
  <si>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</si>
  <si>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</si>
  <si>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</si>
  <si>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</si>
  <si>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</si>
  <si>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</si>
  <si>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</si>
  <si>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</si>
  <si>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</si>
  <si>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</si>
  <si>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</si>
  <si>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</si>
  <si>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</si>
  <si>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</si>
  <si>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</si>
  <si>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</si>
  <si>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</si>
  <si>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</si>
  <si>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</si>
  <si>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</si>
  <si>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</si>
  <si>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</si>
  <si>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</si>
  <si>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</si>
  <si>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</si>
  <si>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</si>
  <si>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</si>
  <si>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</si>
  <si>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</si>
  <si>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</si>
  <si>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</si>
  <si>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</si>
  <si>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</si>
  <si>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</si>
  <si>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</si>
  <si>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</si>
  <si>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</si>
  <si>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</si>
  <si>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</si>
  <si>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</si>
  <si>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</si>
  <si>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</si>
  <si>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</si>
  <si>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</si>
  <si>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</si>
  <si>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</si>
  <si>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</si>
  <si>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</si>
  <si>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</si>
  <si>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</si>
  <si>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</si>
  <si>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</si>
  <si>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</si>
  <si>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</si>
  <si>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</si>
  <si>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</si>
  <si>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</si>
  <si>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</si>
  <si>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</si>
  <si>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</si>
  <si>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</si>
  <si>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</si>
  <si>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</si>
  <si>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</si>
  <si>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</si>
  <si>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</si>
  <si>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</si>
  <si>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</si>
  <si>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</si>
  <si>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</si>
  <si>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</si>
  <si>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</si>
  <si>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</si>
  <si>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</si>
  <si>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</si>
  <si>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</si>
  <si>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</si>
  <si>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</si>
  <si>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</si>
  <si>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</si>
  <si>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</si>
  <si>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</si>
  <si>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</si>
  <si>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</si>
  <si>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</si>
  <si>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</si>
  <si>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</si>
  <si>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</si>
  <si>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</si>
  <si>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</si>
  <si>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</si>
  <si>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</si>
  <si>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</si>
  <si>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</si>
  <si>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</si>
  <si>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</si>
  <si>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</si>
  <si>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</si>
  <si>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</si>
  <si>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</si>
  <si>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</si>
  <si>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</si>
  <si>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</si>
  <si>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</si>
  <si>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</si>
  <si>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</si>
  <si>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</si>
  <si>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</si>
  <si>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</si>
  <si>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</si>
  <si>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</si>
  <si>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</si>
  <si>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</si>
  <si>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</si>
  <si>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</si>
  <si>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</si>
  <si>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</si>
  <si>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</si>
  <si>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</si>
  <si>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</si>
  <si>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</si>
  <si>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</si>
  <si>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</si>
  <si>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</si>
  <si>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</si>
  <si>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</si>
  <si>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</si>
  <si>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</si>
  <si>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</si>
  <si>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</si>
  <si>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</si>
  <si>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</si>
  <si>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</si>
  <si>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</si>
  <si>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</si>
  <si>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</si>
  <si>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</si>
  <si>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</si>
  <si>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</si>
  <si>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</si>
  <si>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</si>
  <si>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</si>
  <si>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</si>
  <si>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</si>
  <si>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</si>
  <si>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</si>
  <si>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</si>
  <si>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</si>
  <si>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</si>
  <si>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</si>
  <si>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</si>
  <si>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</si>
  <si>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</si>
  <si>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</si>
  <si>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</si>
  <si>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</si>
  <si>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</si>
  <si>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</si>
  <si>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</si>
  <si>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</si>
  <si>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</si>
  <si>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</si>
  <si>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</si>
  <si>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</si>
  <si>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</si>
  <si>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</si>
  <si>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</si>
  <si>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</si>
  <si>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</si>
  <si>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</si>
  <si>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</si>
  <si>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</si>
  <si>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</si>
  <si>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</si>
  <si>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</si>
  <si>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</si>
  <si>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</si>
  <si>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</si>
  <si>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</si>
  <si>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</si>
  <si>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</si>
  <si>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</si>
  <si>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</si>
  <si>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</si>
  <si>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</si>
  <si>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</si>
  <si>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</si>
  <si>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</si>
  <si>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</si>
  <si>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</si>
  <si>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</si>
  <si>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</si>
  <si>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</si>
  <si>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</si>
  <si>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</si>
  <si>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</si>
  <si>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</si>
  <si>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</si>
  <si>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</si>
  <si>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</si>
  <si>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</si>
  <si>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</si>
  <si>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</si>
  <si>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</si>
  <si>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</si>
  <si>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</si>
  <si>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</si>
  <si>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</si>
  <si>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</si>
  <si>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</si>
  <si>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</si>
  <si>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</si>
  <si>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</si>
  <si>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</si>
  <si>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</si>
  <si>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</si>
  <si>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</si>
  <si>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</si>
  <si>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</si>
  <si>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</si>
  <si>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</si>
  <si>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</si>
  <si>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</si>
  <si>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</si>
  <si>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</si>
  <si>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</si>
  <si>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</si>
  <si>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</si>
  <si>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</si>
  <si>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</si>
  <si>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</si>
  <si>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</si>
  <si>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</si>
  <si>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</si>
  <si>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</si>
  <si>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</si>
  <si>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</si>
  <si>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</si>
  <si>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</si>
  <si>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</si>
  <si>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</si>
  <si>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</si>
  <si>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</si>
  <si>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</si>
  <si>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</si>
  <si>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</si>
  <si>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</si>
  <si>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</si>
  <si>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</si>
  <si>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</si>
  <si>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</si>
  <si>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</si>
  <si>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</si>
  <si>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</si>
  <si>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</si>
  <si>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</si>
  <si>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</si>
  <si>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</si>
  <si>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</si>
  <si>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</si>
  <si>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</si>
  <si>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</si>
  <si>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</si>
  <si>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</si>
  <si>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</si>
  <si>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</si>
  <si>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</si>
  <si>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</si>
  <si>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</si>
  <si>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</si>
  <si>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</si>
  <si>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</si>
  <si>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</si>
  <si>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</si>
  <si>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</si>
  <si>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</si>
  <si>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</si>
  <si>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</si>
  <si>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</si>
  <si>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</si>
  <si>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</si>
  <si>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</si>
  <si>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</si>
  <si>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</si>
  <si>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</si>
  <si>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</si>
  <si>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</si>
  <si>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</si>
  <si>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</si>
  <si>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</si>
  <si>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</si>
  <si>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</si>
  <si>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</si>
  <si>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</si>
  <si>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</si>
  <si>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</si>
  <si>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</si>
  <si>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</si>
  <si>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</si>
  <si>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</si>
  <si>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</si>
  <si>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</si>
  <si>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</si>
  <si>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</si>
  <si>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</si>
  <si>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</si>
  <si>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</si>
  <si>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</si>
  <si>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</si>
  <si>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</si>
  <si>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</si>
  <si>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</si>
  <si>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</si>
  <si>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</si>
  <si>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</si>
  <si>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</si>
  <si>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</si>
  <si>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</si>
  <si>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</si>
  <si>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</si>
  <si>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</si>
  <si>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</si>
  <si>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</si>
  <si>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</si>
  <si>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</si>
  <si>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</si>
  <si>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</si>
  <si>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</si>
  <si>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</si>
  <si>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</si>
  <si>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</si>
  <si>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</si>
  <si>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</si>
  <si>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</si>
  <si>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</si>
  <si>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</si>
  <si>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</si>
  <si>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</si>
  <si>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</si>
  <si>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</si>
  <si>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</si>
  <si>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</si>
  <si>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</si>
  <si>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</si>
  <si>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</si>
  <si>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</si>
  <si>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</si>
  <si>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</si>
  <si>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</si>
  <si>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</si>
  <si>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</si>
  <si>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</si>
  <si>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</si>
  <si>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</si>
  <si>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</si>
  <si>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</si>
  <si>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</si>
  <si>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</si>
  <si>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</si>
  <si>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</si>
  <si>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</si>
  <si>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</si>
  <si>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</si>
  <si>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</si>
  <si>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</si>
  <si>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</si>
  <si>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</si>
  <si>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</si>
  <si>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</si>
  <si>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</si>
  <si>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</si>
  <si>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</si>
  <si>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</si>
  <si>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</si>
  <si>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</si>
  <si>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</si>
  <si>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</si>
  <si>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</si>
  <si>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</si>
  <si>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</si>
  <si>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</si>
  <si>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</si>
  <si>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</si>
  <si>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</si>
  <si>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</si>
  <si>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</si>
  <si>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</si>
  <si>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</si>
  <si>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</si>
  <si>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</si>
  <si>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</si>
  <si>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</si>
  <si>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</si>
  <si>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</si>
  <si>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</si>
  <si>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</si>
  <si>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</si>
  <si>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</si>
  <si>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</si>
  <si>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</si>
  <si>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</si>
  <si>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</si>
  <si>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</si>
  <si>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</si>
  <si>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</si>
  <si>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</si>
  <si>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</si>
  <si>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</si>
  <si>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</si>
  <si>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</si>
  <si>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</si>
  <si>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</si>
  <si>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</si>
  <si>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</si>
  <si>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</si>
  <si>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</si>
  <si>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</si>
  <si>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</si>
  <si>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</si>
  <si>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</si>
  <si>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</si>
  <si>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</si>
  <si>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</si>
  <si>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</si>
  <si>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</si>
  <si>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</si>
  <si>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</si>
  <si>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</si>
  <si>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</si>
  <si>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</si>
  <si>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</si>
  <si>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</si>
  <si>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</si>
  <si>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</si>
  <si>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</si>
  <si>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</si>
  <si>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</si>
  <si>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</si>
  <si>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</si>
  <si>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</si>
  <si>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</si>
  <si>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</si>
  <si>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</si>
  <si>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</si>
  <si>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</si>
  <si>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</si>
  <si>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</si>
  <si>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</si>
  <si>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</si>
  <si>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</si>
  <si>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</si>
  <si>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</si>
  <si>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</si>
  <si>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</si>
  <si>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</si>
  <si>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</si>
  <si>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</si>
  <si>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</si>
  <si>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</si>
  <si>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</si>
  <si>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</si>
  <si>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</si>
  <si>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</si>
  <si>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</si>
  <si>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</si>
  <si>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</si>
  <si>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</si>
  <si>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</si>
  <si>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</si>
  <si>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</si>
  <si>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</si>
  <si>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</si>
  <si>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</si>
  <si>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</si>
  <si>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</si>
  <si>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</si>
  <si>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</si>
  <si>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</si>
  <si>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</si>
  <si>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</si>
  <si>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</si>
  <si>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</si>
  <si>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</si>
  <si>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</si>
  <si>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</si>
  <si>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</si>
  <si>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</si>
  <si>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</si>
  <si>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</si>
  <si>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</si>
  <si>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</si>
  <si>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</si>
  <si>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</si>
  <si>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</si>
  <si>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</si>
  <si>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</si>
  <si>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</si>
  <si>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</si>
  <si>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</si>
  <si>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</si>
  <si>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</si>
  <si>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</si>
  <si>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</si>
  <si>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</si>
  <si>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</si>
  <si>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</si>
  <si>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</si>
  <si>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</si>
  <si>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</si>
  <si>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</si>
  <si>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</si>
  <si>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</si>
  <si>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</si>
  <si>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</si>
  <si>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</si>
  <si>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</si>
  <si>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</si>
  <si>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</si>
  <si>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</si>
  <si>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</si>
  <si>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</si>
  <si>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</si>
  <si>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</si>
  <si>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</si>
  <si>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</si>
  <si>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</si>
  <si>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</si>
  <si>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</si>
  <si>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</si>
  <si>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</si>
  <si>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</si>
  <si>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</si>
  <si>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</si>
  <si>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</si>
  <si>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</si>
  <si>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</si>
  <si>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</si>
  <si>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</si>
  <si>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</si>
  <si>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</si>
  <si>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</si>
  <si>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</si>
  <si>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</si>
  <si>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</si>
  <si>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</si>
  <si>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</si>
  <si>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</si>
  <si>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</si>
  <si>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</si>
  <si>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</si>
  <si>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</si>
  <si>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</si>
  <si>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</si>
  <si>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</si>
  <si>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</si>
  <si>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</si>
  <si>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</si>
  <si>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</si>
  <si>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</si>
  <si>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</si>
  <si>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</si>
  <si>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</si>
  <si>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</si>
  <si>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</si>
  <si>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</si>
  <si>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</si>
  <si>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</si>
  <si>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</si>
  <si>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</si>
  <si>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</si>
  <si>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</si>
  <si>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</si>
  <si>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</si>
  <si>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</si>
  <si>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</si>
  <si>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</si>
  <si>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</si>
  <si>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</si>
  <si>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</si>
  <si>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</si>
  <si>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</si>
  <si>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</si>
  <si>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</si>
  <si>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</si>
  <si>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</si>
  <si>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</si>
  <si>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</si>
  <si>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</si>
  <si>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</si>
  <si>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</si>
  <si>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</si>
  <si>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</si>
  <si>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</si>
  <si>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</si>
  <si>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</si>
  <si>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</si>
  <si>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</si>
  <si>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</si>
  <si>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</si>
  <si>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</si>
  <si>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</si>
  <si>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</si>
  <si>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</si>
  <si>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</si>
  <si>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</si>
  <si>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</si>
  <si>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</si>
  <si>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</si>
  <si>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</si>
  <si>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</si>
  <si>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</si>
  <si>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</si>
  <si>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</si>
  <si>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</si>
  <si>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</si>
  <si>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</si>
  <si>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</si>
  <si>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</si>
  <si>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</si>
  <si>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</si>
  <si>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</si>
  <si>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</si>
  <si>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</si>
  <si>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</si>
  <si>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</si>
  <si>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</si>
  <si>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</si>
  <si>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</si>
  <si>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</si>
  <si>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</si>
  <si>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</si>
  <si>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</si>
  <si>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</si>
  <si>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</si>
  <si>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</si>
  <si>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</si>
  <si>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</si>
  <si>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</si>
  <si>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</si>
  <si>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</si>
  <si>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</si>
  <si>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</si>
  <si>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</si>
  <si>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</si>
  <si>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</si>
  <si>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</si>
  <si>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</si>
  <si>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</si>
  <si>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</si>
  <si>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</si>
  <si>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</si>
  <si>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</si>
  <si>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</si>
  <si>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</si>
  <si>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</si>
  <si>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</si>
  <si>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</si>
  <si>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</si>
  <si>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</si>
  <si>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</si>
  <si>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</si>
  <si>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</si>
  <si>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</si>
  <si>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</si>
  <si>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</si>
  <si>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</si>
  <si>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</si>
  <si>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</si>
  <si>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</si>
  <si>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</si>
  <si>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</si>
  <si>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</si>
  <si>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</si>
  <si>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</si>
  <si>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</si>
  <si>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</si>
  <si>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</si>
  <si>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</si>
  <si>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</si>
  <si>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</si>
  <si>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</si>
  <si>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</si>
  <si>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</si>
  <si>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</si>
  <si>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</si>
  <si>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</si>
  <si>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</si>
  <si>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</si>
  <si>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</si>
  <si>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</si>
  <si>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</si>
  <si>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</si>
  <si>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</si>
  <si>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</si>
  <si>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</si>
  <si>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</si>
  <si>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</si>
  <si>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</si>
  <si>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</si>
  <si>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</si>
  <si>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</si>
  <si>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</si>
  <si>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</si>
  <si>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</si>
  <si>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</si>
  <si>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</si>
  <si>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</si>
  <si>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</si>
  <si>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</si>
  <si>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</si>
  <si>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</si>
  <si>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</si>
  <si>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</si>
  <si>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</si>
  <si>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</si>
  <si>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</si>
  <si>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</si>
  <si>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</si>
  <si>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</si>
  <si>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</si>
  <si>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</si>
  <si>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</si>
  <si>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</si>
  <si>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</si>
  <si>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</si>
  <si>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</si>
  <si>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</si>
  <si>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</si>
  <si>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</si>
  <si>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</si>
  <si>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</si>
  <si>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</si>
  <si>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</si>
  <si>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</si>
  <si>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</si>
  <si>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</si>
  <si>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</si>
  <si>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</si>
  <si>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</si>
  <si>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</si>
  <si>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</si>
  <si>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</si>
  <si>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</si>
  <si>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</si>
  <si>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</si>
  <si>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</si>
  <si>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</si>
  <si>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</si>
  <si>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</si>
  <si>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</si>
  <si>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</si>
  <si>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</si>
  <si>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</si>
  <si>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</si>
  <si>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</si>
  <si>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</si>
  <si>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</si>
  <si>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</si>
  <si>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</si>
  <si>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</si>
  <si>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</si>
  <si>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</si>
  <si>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</si>
  <si>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</si>
  <si>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</si>
  <si>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</si>
  <si>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</si>
  <si>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</si>
  <si>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</si>
  <si>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</si>
  <si>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</si>
  <si>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</si>
  <si>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</si>
  <si>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</si>
  <si>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</si>
  <si>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</si>
  <si>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</si>
  <si>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</si>
  <si>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</si>
  <si>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</si>
  <si>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</si>
  <si>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</si>
  <si>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</si>
  <si>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</si>
  <si>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</si>
  <si>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</si>
  <si>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</si>
  <si>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</si>
  <si>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</si>
  <si>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</si>
  <si>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</si>
  <si>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</si>
  <si>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</si>
  <si>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</si>
  <si>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</si>
  <si>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</si>
  <si>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</si>
  <si>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</si>
  <si>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</si>
  <si>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</si>
  <si>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</si>
  <si>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</si>
  <si>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</si>
  <si>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</si>
  <si>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</si>
  <si>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</si>
  <si>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</si>
  <si>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</si>
  <si>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</si>
  <si>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</si>
  <si>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</si>
  <si>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</si>
  <si>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</si>
  <si>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</si>
  <si>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</si>
  <si>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</si>
  <si>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</si>
  <si>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</si>
  <si>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</si>
  <si>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</si>
  <si>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</si>
  <si>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</si>
  <si>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</si>
  <si>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</si>
  <si>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</si>
  <si>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</si>
  <si>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</si>
  <si>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</si>
  <si>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</si>
  <si>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</si>
  <si>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</si>
  <si>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</si>
  <si>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</si>
  <si>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</si>
  <si>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</si>
  <si>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</si>
  <si>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</si>
  <si>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</si>
  <si>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</si>
  <si>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</si>
  <si>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</si>
  <si>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</si>
  <si>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</si>
  <si>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</si>
  <si>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</si>
  <si>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</si>
  <si>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</si>
  <si>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</si>
  <si>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</si>
  <si>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</si>
  <si>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</si>
  <si>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</si>
  <si>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</si>
  <si>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</si>
  <si>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</si>
  <si>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</si>
  <si>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</si>
  <si>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</si>
  <si>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</si>
  <si>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</si>
  <si>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</si>
  <si>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</si>
  <si>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</si>
  <si>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</si>
  <si>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</si>
  <si>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</si>
  <si>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</si>
  <si>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</si>
  <si>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</si>
  <si>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</si>
  <si>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</si>
  <si>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</si>
  <si>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</si>
  <si>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</si>
  <si>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</si>
  <si>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</si>
  <si>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</si>
  <si>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</si>
  <si>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</si>
  <si>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</si>
  <si>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</si>
  <si>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</si>
  <si>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</si>
  <si>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</si>
  <si>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</si>
  <si>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</si>
  <si>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</si>
  <si>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</si>
  <si>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</si>
  <si>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</si>
  <si>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</si>
  <si>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</si>
  <si>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</si>
  <si>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</si>
  <si>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</si>
  <si>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</si>
  <si>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</si>
  <si>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</si>
  <si>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</si>
  <si>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</si>
  <si>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</si>
  <si>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</si>
  <si>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</si>
  <si>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</si>
  <si>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</si>
  <si>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</si>
  <si>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</si>
  <si>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</si>
  <si>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</si>
  <si>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</si>
  <si>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</si>
  <si>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</si>
  <si>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</si>
  <si>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</si>
  <si>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</si>
  <si>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</si>
  <si>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</si>
  <si>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</si>
  <si>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</si>
  <si>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</si>
  <si>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</si>
  <si>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</si>
  <si>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</si>
  <si>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</si>
  <si>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</si>
  <si>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</si>
  <si>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</si>
  <si>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</si>
  <si>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</si>
  <si>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</si>
  <si>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</si>
  <si>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</si>
  <si>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</si>
  <si>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</si>
  <si>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</si>
  <si>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</si>
  <si>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</si>
  <si>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</si>
  <si>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</si>
  <si>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</si>
  <si>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</si>
  <si>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</si>
  <si>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</si>
  <si>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</si>
  <si>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</si>
  <si>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</si>
  <si>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</si>
  <si>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</si>
  <si>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</si>
  <si>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</si>
  <si>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</si>
  <si>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</si>
  <si>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</si>
  <si>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</si>
  <si>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</si>
  <si>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</si>
  <si>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</si>
  <si>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</si>
  <si>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</si>
  <si>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</si>
  <si>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</si>
  <si>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</si>
  <si>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</si>
  <si>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</si>
  <si>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</si>
  <si>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</si>
  <si>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</si>
  <si>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</si>
  <si>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</si>
  <si>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</si>
  <si>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</si>
  <si>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</si>
  <si>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</si>
  <si>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</si>
  <si>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</si>
  <si>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</si>
  <si>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</si>
  <si>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</si>
  <si>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</si>
  <si>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</si>
  <si>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</si>
  <si>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</si>
  <si>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</si>
  <si>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</si>
  <si>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</si>
  <si>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</si>
  <si>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</si>
  <si>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</si>
  <si>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</si>
  <si>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</si>
  <si>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</si>
  <si>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</si>
  <si>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</si>
  <si>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</si>
  <si>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</si>
  <si>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</si>
  <si>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</si>
  <si>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</si>
  <si>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</si>
  <si>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</si>
  <si>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</si>
  <si>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</si>
  <si>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</si>
  <si>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</si>
  <si>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</si>
  <si>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</si>
  <si>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</si>
  <si>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</si>
  <si>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</si>
  <si>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</si>
  <si>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</si>
  <si>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</si>
  <si>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</si>
  <si>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</si>
  <si>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</si>
  <si>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</si>
  <si>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</si>
  <si>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</si>
  <si>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</si>
  <si>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</si>
  <si>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</si>
  <si>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</si>
  <si>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</si>
  <si>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</si>
  <si>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</si>
  <si>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</si>
  <si>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</si>
  <si>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</si>
  <si>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</si>
  <si>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</si>
  <si>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</si>
  <si>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</si>
  <si>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</si>
  <si>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</si>
  <si>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</si>
  <si>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</si>
  <si>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</si>
  <si>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</si>
  <si>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</si>
  <si>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</si>
  <si>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</si>
  <si>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</si>
  <si>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</si>
  <si>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</si>
  <si>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</si>
  <si>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</si>
  <si>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</si>
  <si>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</si>
  <si>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</si>
  <si>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</si>
  <si>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</si>
  <si>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</si>
  <si>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</si>
  <si>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</si>
  <si>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</si>
  <si>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</si>
  <si>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</si>
  <si>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</si>
  <si>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</si>
  <si>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</si>
  <si>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</si>
  <si>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</si>
  <si>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</si>
  <si>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</si>
  <si>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</si>
  <si>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</si>
  <si>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</si>
  <si>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</si>
  <si>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</si>
  <si>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</si>
  <si>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</si>
  <si>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</si>
  <si>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</si>
  <si>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</si>
  <si>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</si>
  <si>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</si>
  <si>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</si>
  <si>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</si>
  <si>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</si>
  <si>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</si>
  <si>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</si>
  <si>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</si>
  <si>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</si>
  <si>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</si>
  <si>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</si>
  <si>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</si>
  <si>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</si>
  <si>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</si>
  <si>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</si>
  <si>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</si>
  <si>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</si>
  <si>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</si>
  <si>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</si>
  <si>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</si>
  <si>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</si>
  <si>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</si>
  <si>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</si>
  <si>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</si>
  <si>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</si>
  <si>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</si>
  <si>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</si>
  <si>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</si>
  <si>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</si>
  <si>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</si>
  <si>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</si>
  <si>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</si>
  <si>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</si>
  <si>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</si>
  <si>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</si>
  <si>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</si>
  <si>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</si>
  <si>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</si>
  <si>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</si>
  <si>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</si>
  <si>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</si>
  <si>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</si>
  <si>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</si>
  <si>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</si>
  <si>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</si>
  <si>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</si>
  <si>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</si>
  <si>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</si>
  <si>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</si>
  <si>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</si>
  <si>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</si>
  <si>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</si>
  <si>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</si>
  <si>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</si>
  <si>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</si>
  <si>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</si>
  <si>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</si>
  <si>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</si>
  <si>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</si>
  <si>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</si>
  <si>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</si>
  <si>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</si>
  <si>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</si>
  <si>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</si>
  <si>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</si>
  <si>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</si>
  <si>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</si>
  <si>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</si>
  <si>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</si>
  <si>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</si>
  <si>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</si>
  <si>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</si>
  <si>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</si>
  <si>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</si>
  <si>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</si>
  <si>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</si>
  <si>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</si>
  <si>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</si>
  <si>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</si>
  <si>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</si>
  <si>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</si>
  <si>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</si>
  <si>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</si>
  <si>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</si>
  <si>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</si>
  <si>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</si>
  <si>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</si>
  <si>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</si>
  <si>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</si>
  <si>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</si>
  <si>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</si>
  <si>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</si>
  <si>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</si>
  <si>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</si>
  <si>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</si>
  <si>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</si>
  <si>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</si>
  <si>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</si>
  <si>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</si>
  <si>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</si>
  <si>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</si>
  <si>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</si>
  <si>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</si>
  <si>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</si>
  <si>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</si>
  <si>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</si>
  <si>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</si>
  <si>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</si>
  <si>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</si>
  <si>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</si>
  <si>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</si>
  <si>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</si>
  <si>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</si>
  <si>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</si>
  <si>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</si>
  <si>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</si>
  <si>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</si>
  <si>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</si>
  <si>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</si>
  <si>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</si>
  <si>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</si>
  <si>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</si>
  <si>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</si>
  <si>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</si>
  <si>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</si>
  <si>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</si>
  <si>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</si>
  <si>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</si>
  <si>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</si>
  <si>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</si>
  <si>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</si>
  <si>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</si>
  <si>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</si>
  <si>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</si>
  <si>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</si>
  <si>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</si>
  <si>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</si>
  <si>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</si>
  <si>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</si>
  <si>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</si>
  <si>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</si>
  <si>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</si>
  <si>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</si>
  <si>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</si>
  <si>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</si>
  <si>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</si>
  <si>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</si>
  <si>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</si>
  <si>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</si>
  <si>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</si>
  <si>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</si>
  <si>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</si>
  <si>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</si>
  <si>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</si>
  <si>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</si>
  <si>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</si>
  <si>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</si>
  <si>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</si>
  <si>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</si>
  <si>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</si>
  <si>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</si>
  <si>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</si>
  <si>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</si>
  <si>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</si>
  <si>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</si>
  <si>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</si>
  <si>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</si>
  <si>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</si>
  <si>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</si>
  <si>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</si>
  <si>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</si>
  <si>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</si>
  <si>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</si>
  <si>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</si>
  <si>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</si>
  <si>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</si>
  <si>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</si>
  <si>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</si>
  <si>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</si>
  <si>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</si>
  <si>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</si>
  <si>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</si>
  <si>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</si>
  <si>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</si>
  <si>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</si>
  <si>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</si>
  <si>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</si>
  <si>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</si>
  <si>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</si>
  <si>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</si>
  <si>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</si>
  <si>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</si>
  <si>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</si>
  <si>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</si>
  <si>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</si>
  <si>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</si>
  <si>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</si>
  <si>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</si>
  <si>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</si>
  <si>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</si>
  <si>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</si>
  <si>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</si>
  <si>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</si>
  <si>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</si>
  <si>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</si>
  <si>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</si>
  <si>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</si>
  <si>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</si>
  <si>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</si>
  <si>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</si>
  <si>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</si>
  <si>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</si>
  <si>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</si>
  <si>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</si>
  <si>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</si>
  <si>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</si>
  <si>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</si>
  <si>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</si>
  <si>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</si>
  <si>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</si>
  <si>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</si>
  <si>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</si>
  <si>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</si>
  <si>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</si>
  <si>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</si>
  <si>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</si>
  <si>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</si>
  <si>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</si>
  <si>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</si>
  <si>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Williams Plating Company, Inc. </t>
  </si>
  <si>
    <t>6 Industrial Dr. Arden, NC 28704</t>
  </si>
  <si>
    <t>Ilana Williams</t>
  </si>
  <si>
    <t>ilana@wilplate.com</t>
  </si>
  <si>
    <t>(828) 681-0301</t>
  </si>
  <si>
    <t>Michael Williams</t>
  </si>
  <si>
    <t>President</t>
  </si>
  <si>
    <t>mike@wilplate.com</t>
  </si>
  <si>
    <t>100%</t>
  </si>
  <si>
    <t>http://www.williamsplating.com/quality-controls/</t>
  </si>
  <si>
    <t>Require most recent revisions of RMI CMRT report</t>
  </si>
  <si>
    <t>Document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</si>
</sst>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lana@wilpla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williamsplating.com/quality-controls/" TargetMode="External"/><Relationship Id="rId4" Type="http://schemas.openxmlformats.org/officeDocument/2006/relationships/hyperlink" Target="mailto:mike@wilpla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AFE669B-AD1B-433E-8445-66688CA895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122628-7D0E-457D-A28D-27EC509541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9" zoomScale="70" zoomScaleNormal="70" zoomScalePageLayoutView="70" workbookViewId="0">
      <selection activeCell="D9" sqref="D9:G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15806</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D109662-9D8A-4F05-B55D-C2812EAC569D}"/>
    <hyperlink ref="D20" r:id="rId4" xr:uid="{75E36202-9183-44FD-8F07-C18EE3FEA533}"/>
    <hyperlink ref="G77" r:id="rId5" xr:uid="{7153863C-8309-466C-B2AD-8C586371EC8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687</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t="shared" ref="S5" ca="1" si="0">IF(B5="","",IF(ISERROR(MATCH($E5,CL,0)),"Unknown",INDIRECT("'C'!$A$"&amp;MATCH($E5,CL,0)+1)))</f>
        <v>CA</v>
      </c>
      <c r="T5" s="181" t="str">
        <f ca="1">IF(B5="","",IF(ISERROR(MATCH($J5,SorP!$B$1:$B$6279,0)),"",INDIRECT("'SorP'!$A$"&amp;MATCH($S5&amp;$J5,SorP!C:C,0))))</f>
        <v>CA-ON</v>
      </c>
      <c r="U5" s="201"/>
      <c r="V5" s="226">
        <f ca="1">IF(C5="",NA(),IF(OR(C5="Smelter not listed",C5="Smelter not yet identified"),MATCH($B5&amp;$D5,'Smelter Look-up'!$J:$J,0),MATCH($B5&amp;$C5,'Smelter Look-up'!$J:$J,0)))</f>
        <v>30</v>
      </c>
      <c r="X5" s="227">
        <f t="shared" ref="X5" ca="1" si="1">IF(AND(C5="Smelter not listed",OR(LEN(D5)=0,LEN(E5)=0)),1,0)</f>
        <v>0</v>
      </c>
      <c r="AB5" s="228" t="str">
        <f t="shared" ref="AB5" ca="1" si="2">B5&amp;C5</f>
        <v>GoldAsahi Refining Canada Ltd.</v>
      </c>
    </row>
    <row r="6" spans="1:34" s="227" customFormat="1" ht="19.95" customHeight="1">
      <c r="A6" s="262" t="s">
        <v>677</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 (see also separate country code entry under HK)</v>
      </c>
      <c r="K6" s="224"/>
      <c r="L6" s="224"/>
      <c r="M6" s="224"/>
      <c r="N6" s="224"/>
      <c r="O6" s="224"/>
      <c r="P6" s="185"/>
      <c r="Q6" s="225"/>
      <c r="R6" s="182" t="str">
        <f ca="1">IF(ISERROR($V6),"",OFFSET('Smelter Look-up'!$C$4,$V6-4,0)&amp;"")</f>
        <v>Heraeus Metals Hong Kong Ltd.</v>
      </c>
      <c r="S6" s="181" t="str">
        <f t="shared" ref="S6:S37" ca="1" si="3">IF(B6="","",IF(ISERROR(MATCH($E6,CL,0)),"Unknown",INDIRECT("'C'!$A$"&amp;MATCH($E6,CL,0)+1)))</f>
        <v>CN</v>
      </c>
      <c r="T6" s="181" t="str">
        <f ca="1">IF(B6="","",IF(ISERROR(MATCH($J6,SorP!$B$1:$B$6279,0)),"",INDIRECT("'SorP'!$A$"&amp;MATCH($S6&amp;$J6,SorP!C:C,0))))</f>
        <v>CN-HK</v>
      </c>
      <c r="U6" s="201"/>
      <c r="V6" s="226">
        <f ca="1">IF(C6="",NA(),IF(OR(C6="Smelter not listed",C6="Smelter not yet identified"),MATCH($B6&amp;$D6,'Smelter Look-up'!$J:$J,0),MATCH($B6&amp;$C6,'Smelter Look-up'!$J:$J,0)))</f>
        <v>107</v>
      </c>
      <c r="X6" s="227">
        <f t="shared" ref="X6:X37" ca="1" si="4">IF(AND(C6="Smelter not listed",OR(LEN(D6)=0,LEN(E6)=0)),1,0)</f>
        <v>0</v>
      </c>
      <c r="AB6" s="228" t="str">
        <f t="shared" ref="AB6:AB37" ca="1" si="5">B6&amp;C6</f>
        <v>GoldHeraeus Metals Hong Kong Ltd.</v>
      </c>
    </row>
    <row r="7" spans="1:34" s="227" customFormat="1" ht="19.95" customHeight="1">
      <c r="A7" s="262" t="s">
        <v>693</v>
      </c>
      <c r="B7" s="182" t="str">
        <f ca="1">IF(LEN(A7)=0,"",INDEX('Smelter Look-up'!$A:$A,MATCH($A7,'Smelter Look-up'!$E:$E,0)))</f>
        <v>Gold</v>
      </c>
      <c r="C7" s="186" t="str">
        <f ca="1">IF(LEN(A7)=0,"",INDEX('Smelter Look-up'!$C:$C,MATCH($A7,'Smelter Look-up'!$E:$E,0)))</f>
        <v>Kennecott Utah Copper LLC</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3"/>
        <v>US</v>
      </c>
      <c r="T7" s="181" t="str">
        <f ca="1">IF(B7="","",IF(ISERROR(MATCH($J7,SorP!$B$1:$B$6279,0)),"",INDIRECT("'SorP'!$A$"&amp;MATCH($S7&amp;$J7,SorP!C:C,0))))</f>
        <v>US-UT</v>
      </c>
      <c r="U7" s="201"/>
      <c r="V7" s="226">
        <f ca="1">IF(C7="",NA(),IF(OR(C7="Smelter not listed",C7="Smelter not yet identified"),MATCH($B7&amp;$D7,'Smelter Look-up'!$J:$J,0),MATCH($B7&amp;$C7,'Smelter Look-up'!$J:$J,0)))</f>
        <v>137</v>
      </c>
      <c r="X7" s="227">
        <f t="shared" ca="1" si="4"/>
        <v>0</v>
      </c>
      <c r="AB7" s="228" t="str">
        <f t="shared" ca="1" si="5"/>
        <v>GoldKennecott Utah Copper LLC</v>
      </c>
    </row>
    <row r="8" spans="1:34" s="227" customFormat="1" ht="19.95" customHeight="1">
      <c r="A8" s="262" t="s">
        <v>706</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3"/>
        <v>US</v>
      </c>
      <c r="T8" s="181" t="str">
        <f ca="1">IF(B8="","",IF(ISERROR(MATCH($J8,SorP!$B$1:$B$6279,0)),"",INDIRECT("'SorP'!$A$"&amp;MATCH($S8&amp;$J8,SorP!C:C,0))))</f>
        <v>US-MA</v>
      </c>
      <c r="U8" s="201"/>
      <c r="V8" s="226">
        <f ca="1">IF(C8="",NA(),IF(OR(C8="Smelter not listed",C8="Smelter not yet identified"),MATCH($B8&amp;$D8,'Smelter Look-up'!$J:$J,0),MATCH($B8&amp;$C8,'Smelter Look-up'!$J:$J,0)))</f>
        <v>176</v>
      </c>
      <c r="X8" s="227">
        <f t="shared" ca="1" si="4"/>
        <v>0</v>
      </c>
      <c r="AB8" s="228" t="str">
        <f t="shared" ca="1" si="5"/>
        <v>GoldMetalor USA Refining Corporation</v>
      </c>
    </row>
    <row r="9" spans="1:34" s="227" customFormat="1" ht="19.95" customHeight="1">
      <c r="A9" s="262" t="s">
        <v>707</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c r="Q9" s="225"/>
      <c r="R9" s="182" t="str">
        <f ca="1">IF(ISERROR($V9),"",OFFSET('Smelter Look-up'!$C$4,$V9-4,0)&amp;"")</f>
        <v>Metalurgica Met-Mex Penoles S.A. De C.V.</v>
      </c>
      <c r="S9" s="181" t="str">
        <f t="shared" ca="1" si="3"/>
        <v>MX</v>
      </c>
      <c r="T9" s="181" t="str">
        <f ca="1">IF(B9="","",IF(ISERROR(MATCH($J9,SorP!$B$1:$B$6279,0)),"",INDIRECT("'SorP'!$A$"&amp;MATCH($S9&amp;$J9,SorP!C:C,0))))</f>
        <v>MX-COA</v>
      </c>
      <c r="U9" s="201"/>
      <c r="V9" s="226">
        <f ca="1">IF(C9="",NA(),IF(OR(C9="Smelter not listed",C9="Smelter not yet identified"),MATCH($B9&amp;$D9,'Smelter Look-up'!$J:$J,0),MATCH($B9&amp;$C9,'Smelter Look-up'!$J:$J,0)))</f>
        <v>177</v>
      </c>
      <c r="X9" s="227">
        <f t="shared" ca="1" si="4"/>
        <v>0</v>
      </c>
      <c r="AB9" s="228" t="str">
        <f t="shared" ca="1" si="5"/>
        <v>GoldMetalurgica Met-Mex Penoles S.A. De C.V.</v>
      </c>
    </row>
    <row r="10" spans="1:34" s="227" customFormat="1" ht="19.95" customHeight="1">
      <c r="A10" s="262" t="s">
        <v>722</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3"/>
        <v>CA</v>
      </c>
      <c r="T10" s="181" t="str">
        <f ca="1">IF(B10="","",IF(ISERROR(MATCH($J10,SorP!$B$1:$B$6279,0)),"",INDIRECT("'SorP'!$A$"&amp;MATCH($S10&amp;$J10,SorP!C:C,0))))</f>
        <v>CA-ON</v>
      </c>
      <c r="U10" s="201"/>
      <c r="V10" s="226">
        <f ca="1">IF(C10="",NA(),IF(OR(C10="Smelter not listed",C10="Smelter not yet identified"),MATCH($B10&amp;$D10,'Smelter Look-up'!$J:$J,0),MATCH($B10&amp;$C10,'Smelter Look-up'!$J:$J,0)))</f>
        <v>220</v>
      </c>
      <c r="X10" s="227">
        <f t="shared" ca="1" si="4"/>
        <v>0</v>
      </c>
      <c r="AB10" s="228" t="str">
        <f t="shared" ca="1" si="5"/>
        <v>GoldRoyal Canadian Mint</v>
      </c>
    </row>
    <row r="11" spans="1:34" s="227" customFormat="1" ht="19.95" customHeight="1">
      <c r="A11" s="262" t="s">
        <v>1815</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 ca="1">IF(C11="",NA(),IF(OR(C11="Smelter not listed",C11="Smelter not yet identified"),MATCH($B11&amp;$D11,'Smelter Look-up'!$J:$J,0),MATCH($B11&amp;$C11,'Smelter Look-up'!$J:$J,0)))</f>
        <v>394</v>
      </c>
      <c r="X11" s="227">
        <f t="shared" ca="1" si="4"/>
        <v>0</v>
      </c>
      <c r="AB11" s="228" t="str">
        <f t="shared" ca="1" si="5"/>
        <v>TinAurubis Beerse</v>
      </c>
    </row>
    <row r="12" spans="1:34" s="227" customFormat="1" ht="19.95" customHeight="1">
      <c r="A12" s="262" t="s">
        <v>779</v>
      </c>
      <c r="B12" s="182" t="str">
        <f ca="1">IF(LEN(A12)=0,"",INDEX('Smelter Look-up'!$A:$A,MATCH($A12,'Smelter Look-up'!$E:$E,0)))</f>
        <v>Tin</v>
      </c>
      <c r="C12" s="186" t="str">
        <f ca="1">IF(LEN(A12)=0,"",INDEX('Smelter Look-up'!$C:$C,MATCH($A12,'Smelter Look-up'!$E:$E,0)))</f>
        <v>PT Mitra Stania Prima</v>
      </c>
      <c r="D12" s="230"/>
      <c r="E12" s="182" t="str">
        <f ca="1">IF(ISERROR($V12),"",OFFSET('Smelter Look-up'!$D$4,$V12-4,0)&amp;"")</f>
        <v>INDONESIA</v>
      </c>
      <c r="F12" s="182" t="str">
        <f ca="1">IF(ISERROR($V12),"",OFFSET('Smelter Look-up'!$E$4,$V12-4,0))</f>
        <v>CID001453</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Mitra Stania Prima</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500</v>
      </c>
      <c r="X12" s="227">
        <f t="shared" ca="1" si="4"/>
        <v>0</v>
      </c>
      <c r="AB12" s="228" t="str">
        <f t="shared" ca="1" si="5"/>
        <v>TinPT Mitra Stania Prima</v>
      </c>
    </row>
    <row r="13" spans="1:34" s="227" customFormat="1" ht="19.95" customHeight="1">
      <c r="A13" s="262" t="s">
        <v>785</v>
      </c>
      <c r="B13" s="182" t="str">
        <f ca="1">IF(LEN(A13)=0,"",INDEX('Smelter Look-up'!$A:$A,MATCH($A13,'Smelter Look-up'!$E:$E,0)))</f>
        <v>Tin</v>
      </c>
      <c r="C13" s="186" t="str">
        <f ca="1">IF(LEN(A13)=0,"",INDEX('Smelter Look-up'!$C:$C,MATCH($A13,'Smelter Look-up'!$E:$E,0)))</f>
        <v>White Solder Metalurgia e Mineracao Ltda.</v>
      </c>
      <c r="D13" s="230"/>
      <c r="E13" s="182" t="str">
        <f ca="1">IF(ISERROR($V13),"",OFFSET('Smelter Look-up'!$D$4,$V13-4,0)&amp;"")</f>
        <v>BRAZIL</v>
      </c>
      <c r="F13" s="182" t="str">
        <f ca="1">IF(ISERROR($V13),"",OFFSET('Smelter Look-up'!$E$4,$V13-4,0))</f>
        <v>CID002036</v>
      </c>
      <c r="G13" s="182" t="str">
        <f ca="1">IF(C13=$X$4,IF(ISERROR($V13),"Enter smelter details","RMI"),IF(ISERROR($V13),"",OFFSET('Smelter Look-up'!$F$4,$V13-4,0)))</f>
        <v>RMI</v>
      </c>
      <c r="H13" s="183">
        <f ca="1">IF(ISERROR($V13),"",OFFSET('Smelter Look-up'!$G$4,$V13-4,0))</f>
        <v>0</v>
      </c>
      <c r="I13" s="184" t="str">
        <f ca="1">IF(ISERROR($V13),"",OFFSET('Smelter Look-up'!$H$4,$V13-4,0))</f>
        <v>Ariquemes</v>
      </c>
      <c r="J13" s="184" t="str">
        <f ca="1">IF(ISERROR($V13),"",OFFSET('Smelter Look-up'!$I$4,$V13-4,0))</f>
        <v>Rondônia</v>
      </c>
      <c r="K13" s="224"/>
      <c r="L13" s="224"/>
      <c r="M13" s="224"/>
      <c r="N13" s="224"/>
      <c r="O13" s="224"/>
      <c r="P13" s="185"/>
      <c r="Q13" s="225"/>
      <c r="R13" s="182" t="str">
        <f ca="1">IF(ISERROR($V13),"",OFFSET('Smelter Look-up'!$C$4,$V13-4,0)&amp;"")</f>
        <v>White Solder Metalurgia e Mineracao Ltda.</v>
      </c>
      <c r="S13" s="181" t="str">
        <f t="shared" ca="1" si="3"/>
        <v>BR</v>
      </c>
      <c r="T13" s="181" t="str">
        <f ca="1">IF(B13="","",IF(ISERROR(MATCH($J13,SorP!$B$1:$B$6279,0)),"",INDIRECT("'SorP'!$A$"&amp;MATCH($S13&amp;$J13,SorP!C:C,0))))</f>
        <v>BR-RO</v>
      </c>
      <c r="U13" s="201"/>
      <c r="V13" s="226">
        <f ca="1">IF(C13="",NA(),IF(OR(C13="Smelter not listed",C13="Smelter not yet identified"),MATCH($B13&amp;$D13,'Smelter Look-up'!$J:$J,0),MATCH($B13&amp;$C13,'Smelter Look-up'!$J:$J,0)))</f>
        <v>535</v>
      </c>
      <c r="X13" s="227">
        <f t="shared" ca="1" si="4"/>
        <v>0</v>
      </c>
      <c r="AB13" s="228" t="str">
        <f t="shared" ca="1" si="5"/>
        <v>TinWhite Solder Metalurgia e Mineracao Ltda.</v>
      </c>
    </row>
    <row r="14" spans="1:34" s="227" customFormat="1" ht="19.95" customHeight="1">
      <c r="A14" s="262" t="s">
        <v>772</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3"/>
        <v>BR</v>
      </c>
      <c r="T14" s="181" t="str">
        <f ca="1">IF(B14="","",IF(ISERROR(MATCH($J14,SorP!$B$1:$B$6279,0)),"",INDIRECT("'SorP'!$A$"&amp;MATCH($S14&amp;$J14,SorP!C:C,0))))</f>
        <v>BR-SP</v>
      </c>
      <c r="U14" s="201"/>
      <c r="V14" s="226">
        <f ca="1">IF(C14="",NA(),IF(OR(C14="Smelter not listed",C14="Smelter not yet identified"),MATCH($B14&amp;$D14,'Smelter Look-up'!$J:$J,0),MATCH($B14&amp;$C14,'Smelter Look-up'!$J:$J,0)))</f>
        <v>465</v>
      </c>
      <c r="X14" s="227">
        <f t="shared" ca="1" si="4"/>
        <v>0</v>
      </c>
      <c r="AB14" s="228" t="str">
        <f t="shared" ca="1" si="5"/>
        <v>TinMineracao Taboca S.A.</v>
      </c>
    </row>
    <row r="15" spans="1:34" s="227" customFormat="1" ht="19.95" customHeight="1">
      <c r="A15" s="262" t="s">
        <v>764</v>
      </c>
      <c r="B15" s="182" t="str">
        <f ca="1">IF(LEN(A15)=0,"",INDEX('Smelter Look-up'!$A:$A,MATCH($A15,'Smelter Look-up'!$E:$E,0)))</f>
        <v>Tin</v>
      </c>
      <c r="C15" s="186" t="str">
        <f ca="1">IF(LEN(A15)=0,"",INDEX('Smelter Look-up'!$C:$C,MATCH($A15,'Smelter Look-up'!$E:$E,0)))</f>
        <v>EM Vinto</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3"/>
        <v>BO</v>
      </c>
      <c r="T15" s="181" t="str">
        <f ca="1">IF(B15="","",IF(ISERROR(MATCH($J15,SorP!$B$1:$B$6279,0)),"",INDIRECT("'SorP'!$A$"&amp;MATCH($S15&amp;$J15,SorP!C:C,0))))</f>
        <v>BO-O</v>
      </c>
      <c r="U15" s="201"/>
      <c r="V15" s="226">
        <f ca="1">IF(C15="",NA(),IF(OR(C15="Smelter not listed",C15="Smelter not yet identified"),MATCH($B15&amp;$D15,'Smelter Look-up'!$J:$J,0),MATCH($B15&amp;$C15,'Smelter Look-up'!$J:$J,0)))</f>
        <v>421</v>
      </c>
      <c r="X15" s="227">
        <f t="shared" ca="1" si="4"/>
        <v>0</v>
      </c>
      <c r="AB15" s="228" t="str">
        <f t="shared" ca="1" si="5"/>
        <v>TinEM Vinto</v>
      </c>
    </row>
    <row r="16" spans="1:34" s="227" customFormat="1" ht="19.95" customHeight="1">
      <c r="A16" s="262" t="s">
        <v>771</v>
      </c>
      <c r="B16" s="182" t="str">
        <f ca="1">IF(LEN(A16)=0,"",INDEX('Smelter Look-up'!$A:$A,MATCH($A16,'Smelter Look-up'!$E:$E,0)))</f>
        <v>Tin</v>
      </c>
      <c r="C16" s="186" t="str">
        <f ca="1">IF(LEN(A16)=0,"",INDEX('Smelter Look-up'!$C:$C,MATCH($A16,'Smelter Look-up'!$E:$E,0)))</f>
        <v>Malaysia Smelting Corporation (MSC)</v>
      </c>
      <c r="D16" s="230"/>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3"/>
        <v>MY</v>
      </c>
      <c r="T16" s="181" t="str">
        <f ca="1">IF(B16="","",IF(ISERROR(MATCH($J16,SorP!$B$1:$B$6279,0)),"",INDIRECT("'SorP'!$A$"&amp;MATCH($S16&amp;$J16,SorP!C:C,0))))</f>
        <v>MY-07</v>
      </c>
      <c r="U16" s="201"/>
      <c r="V16" s="226">
        <f ca="1">IF(C16="",NA(),IF(OR(C16="Smelter not listed",C16="Smelter not yet identified"),MATCH($B16&amp;$D16,'Smelter Look-up'!$J:$J,0),MATCH($B16&amp;$C16,'Smelter Look-up'!$J:$J,0)))</f>
        <v>458</v>
      </c>
      <c r="X16" s="227">
        <f t="shared" ca="1" si="4"/>
        <v>0</v>
      </c>
      <c r="AB16" s="228" t="str">
        <f t="shared" ca="1" si="5"/>
        <v>TinMalaysia Smelting Corporation (MSC)</v>
      </c>
    </row>
    <row r="17" spans="1:28" s="227" customFormat="1" ht="19.95" customHeight="1">
      <c r="A17" s="262" t="s">
        <v>784</v>
      </c>
      <c r="B17" s="182" t="str">
        <f ca="1">IF(LEN(A17)=0,"",INDEX('Smelter Look-up'!$A:$A,MATCH($A17,'Smelter Look-up'!$E:$E,0)))</f>
        <v>Tin</v>
      </c>
      <c r="C17" s="186" t="str">
        <f ca="1">IF(LEN(A17)=0,"",INDEX('Smelter Look-up'!$C:$C,MATCH($A17,'Smelter Look-up'!$E:$E,0)))</f>
        <v>Thaisarco</v>
      </c>
      <c r="D17" s="230"/>
      <c r="E17" s="182" t="str">
        <f ca="1">IF(ISERROR($V17),"",OFFSET('Smelter Look-up'!$D$4,$V17-4,0)&amp;"")</f>
        <v>THAILAND</v>
      </c>
      <c r="F17" s="182" t="str">
        <f ca="1">IF(ISERROR($V17),"",OFFSET('Smelter Look-up'!$E$4,$V17-4,0))</f>
        <v>CID001898</v>
      </c>
      <c r="G17" s="182" t="str">
        <f ca="1">IF(C17=$X$4,IF(ISERROR($V17),"Enter smelter details","RMI"),IF(ISERROR($V17),"",OFFSET('Smelter Look-up'!$F$4,$V17-4,0)))</f>
        <v>RMI</v>
      </c>
      <c r="H17" s="183">
        <f ca="1">IF(ISERROR($V17),"",OFFSET('Smelter Look-up'!$G$4,$V17-4,0))</f>
        <v>0</v>
      </c>
      <c r="I17" s="184" t="str">
        <f ca="1">IF(ISERROR($V17),"",OFFSET('Smelter Look-up'!$H$4,$V17-4,0))</f>
        <v>Amphur Muang</v>
      </c>
      <c r="J17" s="184" t="str">
        <f ca="1">IF(ISERROR($V17),"",OFFSET('Smelter Look-up'!$I$4,$V17-4,0))</f>
        <v>Phuket</v>
      </c>
      <c r="K17" s="224"/>
      <c r="L17" s="224"/>
      <c r="M17" s="224"/>
      <c r="N17" s="224"/>
      <c r="O17" s="224"/>
      <c r="P17" s="185"/>
      <c r="Q17" s="225"/>
      <c r="R17" s="182" t="str">
        <f ca="1">IF(ISERROR($V17),"",OFFSET('Smelter Look-up'!$C$4,$V17-4,0)&amp;"")</f>
        <v>Thaisarco</v>
      </c>
      <c r="S17" s="181" t="str">
        <f t="shared" ca="1" si="3"/>
        <v>TH</v>
      </c>
      <c r="T17" s="181" t="str">
        <f ca="1">IF(B17="","",IF(ISERROR(MATCH($J17,SorP!$B$1:$B$6279,0)),"",INDIRECT("'SorP'!$A$"&amp;MATCH($S17&amp;$J17,SorP!C:C,0))))</f>
        <v>TH-83</v>
      </c>
      <c r="U17" s="201"/>
      <c r="V17" s="226">
        <f ca="1">IF(C17="",NA(),IF(OR(C17="Smelter not listed",C17="Smelter not yet identified"),MATCH($B17&amp;$D17,'Smelter Look-up'!$J:$J,0),MATCH($B17&amp;$C17,'Smelter Look-up'!$J:$J,0)))</f>
        <v>526</v>
      </c>
      <c r="X17" s="227">
        <f t="shared" ca="1" si="4"/>
        <v>0</v>
      </c>
      <c r="AB17" s="228" t="str">
        <f t="shared" ca="1" si="5"/>
        <v>TinThaisarco</v>
      </c>
    </row>
    <row r="18" spans="1:28" s="227" customFormat="1" ht="19.95" customHeight="1">
      <c r="A18" s="181" t="s">
        <v>800</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3"/>
        <v>ID</v>
      </c>
      <c r="T18" s="181" t="str">
        <f ca="1">IF(B18="","",IF(ISERROR(MATCH($J18,SorP!$B$1:$B$6279,0)),"",INDIRECT("'SorP'!$A$"&amp;MATCH($S18&amp;$J18,SorP!C:C,0))))</f>
        <v>ID-RI</v>
      </c>
      <c r="U18" s="201"/>
      <c r="V18" s="226">
        <f ca="1">IF(C18="",NA(),IF(OR(C18="Smelter not listed",C18="Smelter not yet identified"),MATCH($B18&amp;$D18,'Smelter Look-up'!$J:$J,0),MATCH($B18&amp;$C18,'Smelter Look-up'!$J:$J,0)))</f>
        <v>513</v>
      </c>
      <c r="X18" s="227">
        <f t="shared" ca="1" si="4"/>
        <v>0</v>
      </c>
      <c r="AB18" s="228" t="str">
        <f t="shared" ca="1" si="5"/>
        <v>TinPT Timah Tbk Kundur</v>
      </c>
    </row>
    <row r="19" spans="1:28" s="227" customFormat="1" ht="20.399999999999999">
      <c r="A19" s="181" t="s">
        <v>781</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514</v>
      </c>
      <c r="X19" s="227">
        <f t="shared" ca="1" si="4"/>
        <v>0</v>
      </c>
      <c r="AB19" s="228" t="str">
        <f t="shared" ca="1" si="5"/>
        <v>TinPT Timah Tbk Mentok</v>
      </c>
    </row>
    <row r="20" spans="1:28" s="227" customFormat="1" ht="20.399999999999999">
      <c r="A20" s="181" t="s">
        <v>773</v>
      </c>
      <c r="B20" s="182" t="str">
        <f ca="1">IF(LEN(A20)=0,"",INDEX('Smelter Look-up'!$A:$A,MATCH($A20,'Smelter Look-up'!$E:$E,0)))</f>
        <v>Tin</v>
      </c>
      <c r="C20" s="186" t="str">
        <f ca="1">IF(LEN(A20)=0,"",INDEX('Smelter Look-up'!$C:$C,MATCH($A20,'Smelter Look-up'!$E:$E,0)))</f>
        <v>Minsur</v>
      </c>
      <c r="D20" s="230"/>
      <c r="E20" s="182" t="str">
        <f ca="1">IF(ISERROR($V20),"",OFFSET('Smelter Look-up'!$D$4,$V20-4,0)&amp;"")</f>
        <v>PERU</v>
      </c>
      <c r="F20" s="182" t="str">
        <f ca="1">IF(ISERROR($V20),"",OFFSET('Smelter Look-up'!$E$4,$V20-4,0))</f>
        <v>CID001182</v>
      </c>
      <c r="G20" s="182" t="str">
        <f ca="1">IF(C20=$X$4,IF(ISERROR($V20),"Enter smelter details","RMI"),IF(ISERROR($V20),"",OFFSET('Smelter Look-up'!$F$4,$V20-4,0)))</f>
        <v>RMI</v>
      </c>
      <c r="H20" s="183">
        <f ca="1">IF(ISERROR($V20),"",OFFSET('Smelter Look-up'!$G$4,$V20-4,0))</f>
        <v>0</v>
      </c>
      <c r="I20" s="184" t="str">
        <f ca="1">IF(ISERROR($V20),"",OFFSET('Smelter Look-up'!$H$4,$V20-4,0))</f>
        <v>Paracas</v>
      </c>
      <c r="J20" s="184" t="str">
        <f ca="1">IF(ISERROR($V20),"",OFFSET('Smelter Look-up'!$I$4,$V20-4,0))</f>
        <v>Ika</v>
      </c>
      <c r="K20" s="224"/>
      <c r="L20" s="224"/>
      <c r="M20" s="224"/>
      <c r="N20" s="224"/>
      <c r="O20" s="224"/>
      <c r="P20" s="185"/>
      <c r="Q20" s="225"/>
      <c r="R20" s="182" t="str">
        <f ca="1">IF(ISERROR($V20),"",OFFSET('Smelter Look-up'!$C$4,$V20-4,0)&amp;"")</f>
        <v>Minsur</v>
      </c>
      <c r="S20" s="181" t="str">
        <f t="shared" ca="1" si="3"/>
        <v>PE</v>
      </c>
      <c r="T20" s="181" t="str">
        <f ca="1">IF(B20="","",IF(ISERROR(MATCH($J20,SorP!$B$1:$B$6279,0)),"",INDIRECT("'SorP'!$A$"&amp;MATCH($S20&amp;$J20,SorP!C:C,0))))</f>
        <v>PE-ICA</v>
      </c>
      <c r="U20" s="201"/>
      <c r="V20" s="226">
        <f ca="1">IF(C20="",NA(),IF(OR(C20="Smelter not listed",C20="Smelter not yet identified"),MATCH($B20&amp;$D20,'Smelter Look-up'!$J:$J,0),MATCH($B20&amp;$C20,'Smelter Look-up'!$J:$J,0)))</f>
        <v>470</v>
      </c>
      <c r="X20" s="227">
        <f t="shared" ca="1" si="4"/>
        <v>0</v>
      </c>
      <c r="AB20" s="228" t="str">
        <f t="shared" ca="1" si="5"/>
        <v>TinMinsur</v>
      </c>
    </row>
    <row r="21" spans="1:28" s="227" customFormat="1" ht="20.399999999999999">
      <c r="A21" s="181" t="s">
        <v>13184</v>
      </c>
      <c r="B21" s="182" t="str">
        <f ca="1">IF(LEN(A21)=0,"",INDEX('Smelter Look-up'!$A:$A,MATCH($A21,'Smelter Look-up'!$E:$E,0)))</f>
        <v>Tin</v>
      </c>
      <c r="C21" s="186" t="str">
        <f ca="1">IF(LEN(A21)=0,"",INDEX('Smelter Look-up'!$C:$C,MATCH($A21,'Smelter Look-up'!$E:$E,0)))</f>
        <v>Tin Technology &amp; Refining</v>
      </c>
      <c r="D21" s="230"/>
      <c r="E21" s="182" t="str">
        <f ca="1">IF(ISERROR($V21),"",OFFSET('Smelter Look-up'!$D$4,$V21-4,0)&amp;"")</f>
        <v>UNITED STATES OF AMERICA</v>
      </c>
      <c r="F21" s="182" t="str">
        <f ca="1">IF(ISERROR($V21),"",OFFSET('Smelter Look-up'!$E$4,$V21-4,0))</f>
        <v>CID003325</v>
      </c>
      <c r="G21" s="182" t="str">
        <f ca="1">IF(C21=$X$4,IF(ISERROR($V21),"Enter smelter details","RMI"),IF(ISERROR($V21),"",OFFSET('Smelter Look-up'!$F$4,$V21-4,0)))</f>
        <v>RMI</v>
      </c>
      <c r="H21" s="183">
        <f ca="1">IF(ISERROR($V21),"",OFFSET('Smelter Look-up'!$G$4,$V21-4,0))</f>
        <v>0</v>
      </c>
      <c r="I21" s="184" t="str">
        <f ca="1">IF(ISERROR($V21),"",OFFSET('Smelter Look-up'!$H$4,$V21-4,0))</f>
        <v>West Chester</v>
      </c>
      <c r="J21" s="184" t="str">
        <f ca="1">IF(ISERROR($V21),"",OFFSET('Smelter Look-up'!$I$4,$V21-4,0))</f>
        <v>Pennsylvania</v>
      </c>
      <c r="K21" s="224"/>
      <c r="L21" s="224"/>
      <c r="M21" s="224"/>
      <c r="N21" s="224"/>
      <c r="O21" s="224"/>
      <c r="P21" s="185"/>
      <c r="Q21" s="225"/>
      <c r="R21" s="182" t="str">
        <f ca="1">IF(ISERROR($V21),"",OFFSET('Smelter Look-up'!$C$4,$V21-4,0)&amp;"")</f>
        <v>Tin Technology &amp; Refining</v>
      </c>
      <c r="S21" s="181" t="str">
        <f t="shared" ca="1" si="3"/>
        <v>US</v>
      </c>
      <c r="T21" s="181" t="str">
        <f ca="1">IF(B21="","",IF(ISERROR(MATCH($J21,SorP!$B$1:$B$6279,0)),"",INDIRECT("'SorP'!$A$"&amp;MATCH($S21&amp;$J21,SorP!C:C,0))))</f>
        <v>US-PA</v>
      </c>
      <c r="U21" s="201"/>
      <c r="V21" s="226">
        <f ca="1">IF(C21="",NA(),IF(OR(C21="Smelter not listed",C21="Smelter not yet identified"),MATCH($B21&amp;$D21,'Smelter Look-up'!$J:$J,0),MATCH($B21&amp;$C21,'Smelter Look-up'!$J:$J,0)))</f>
        <v>530</v>
      </c>
      <c r="X21" s="227">
        <f t="shared" ca="1" si="4"/>
        <v>0</v>
      </c>
      <c r="AB21" s="228" t="str">
        <f t="shared" ca="1" si="5"/>
        <v>TinTin Technology &amp; Refining</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9279DA3-9608-44A7-921F-EDF7FB21EB8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D11" sqref="D11:J11"/>
      <selection pane="topRight" activeCell="D11" sqref="D11:J11"/>
      <selection pane="bottomLeft" activeCell="D11" sqref="D11:J11"/>
      <selection pane="bottomRight" activeCell="D11" sqref="D11:J11"/>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Williams Plating Company,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Ilana Williams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ilana@wilplate.com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(828) 681-0301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Williams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mike@wilplate.com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http://www.williamsplating.com/quality-controls/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C14"/>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Ilana Williams</cp:lastModifiedBy>
  <cp:lastPrinted>2015-04-21T20:47:43Z</cp:lastPrinted>
  <dcterms:created xsi:type="dcterms:W3CDTF">2010-06-21T21:00:23Z</dcterms:created>
  <dcterms:modified xsi:type="dcterms:W3CDTF">2023-06-05T11:36:52Z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